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externalReferences>
    <externalReference r:id="rId6"/>
  </externalReference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<sst xmlns="http://schemas.openxmlformats.org/spreadsheetml/2006/main" count="508" uniqueCount="158">
  <si>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</si>
  <si>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</si>
  <si>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</si>
  <si>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</si>
  <si>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</si>
  <si>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</si>
  <si>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</si>
  <si>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</si>
  <si>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</si>
  <si>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</si>
  <si>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</si>
  <si>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</si>
  <si>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</si>
  <si>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</si>
  <si>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</si>
  <si>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</si>
  <si>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</si>
  <si>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</si>
  <si>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</si>
  <si>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</si>
  <si>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</si>
  <si>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</si>
  <si>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</si>
  <si>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</si>
  <si>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</si>
  <si>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</si>
  <si>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</si>
  <si>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</si>
  <si>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</si>
  <si>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</si>
  <si>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</si>
  <si>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</si>
  <si>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</si>
  <si>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</si>
  <si>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</si>
  <si>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</si>
  <si>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</si>
  <si>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</si>
  <si>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</si>
  <si>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</si>
  <si>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</si>
  <si>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</si>
  <si>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</si>
  <si>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</si>
  <si>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</si>
  <si>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</si>
  <si>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</si>
  <si>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</si>
  <si>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</si>
  <si>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</si>
  <si>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</si>
  <si>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</si>
  <si>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</si>
  <si>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</si>
  <si>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</si>
  <si>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</si>
  <si>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</si>
  <si>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</si>
  <si>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</si>
  <si>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</si>
  <si>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</si>
  <si>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</si>
  <si>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</si>
  <si>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</si>
  <si>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</si>
  <si>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</si>
  <si>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</si>
  <si>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</si>
  <si>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</si>
  <si>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</si>
  <si>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</si>
  <si>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</si>
  <si>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</si>
  <si>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</si>
  <si>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</si>
  <si>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</si>
  <si>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</si>
  <si>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</si>
  <si>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</si>
  <si>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</si>
  <si>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</si>
  <si>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</si>
  <si>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</si>
  <si>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</si>
  <si>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</si>
  <si>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</si>
  <si>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</si>
  <si>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</si>
  <si>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</si>
  <si>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</si>
  <si>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</si>
  <si>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</si>
  <si>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</si>
  <si>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</si>
  <si>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</si>
  <si>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</si>
  <si>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</si>
  <si>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</si>
  <si>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</si>
  <si>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</si>
  <si>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</si>
  <si>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</si>
  <si>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</si>
  <si>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</si>
  <si>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</si>
  <si>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</si>
  <si>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</si>
  <si>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</si>
  <si>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</si>
  <si>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</si>
  <si>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</si>
  <si>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</si>
  <si>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</si>
  <si>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</si>
  <si>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</si>
  <si>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</si>
  <si>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</si>
  <si>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</si>
  <si>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</si>
  <si>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</si>
  <si>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</si>
  <si>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</si>
  <si>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</si>
  <si>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</si>
  <si>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</si>
  <si>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</si>
  <si>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</si>
  <si>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</si>
  <si>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</si>
  <si>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</si>
  <si>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</si>
  <si>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</si>
  <si>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</si>
  <si>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</si>
  <si>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</si>
  <si>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</si>
  <si>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</si>
  <si>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</si>
  <si>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</si>
  <si>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</si>
  <si>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</si>
  <si>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</si>
  <si>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</si>
  <si>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</si>
  <si>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</si>
  <si>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</si>
  <si>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2019год</t>
  </si>
  <si>
    <t>Белокалитвинского района</t>
  </si>
  <si>
    <t xml:space="preserve">   2019 год</t>
  </si>
  <si>
    <t>Откл. к пл. кварт.</t>
  </si>
  <si>
    <t>% исп.</t>
  </si>
  <si>
    <t>год. плана</t>
  </si>
  <si>
    <t>Субсидии</t>
  </si>
  <si>
    <t>9 месяцев 2019 года</t>
  </si>
  <si>
    <t xml:space="preserve">Исполнение  бюджета Белокалитвинского района по доходам на 01.10.2019 года </t>
  </si>
  <si>
    <t xml:space="preserve">Информация о выполнении плановых назначений по доходам за январь - сентябрь 2019 года по поселениям </t>
  </si>
  <si>
    <t>по состоянию на 01.10.2019 года</t>
  </si>
  <si>
    <t xml:space="preserve">по состоянию на 01.10.2019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</si>
</sst>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6" borderId="1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7" borderId="12" xfId="0" applyNumberFormat="1" applyFont="1" applyFill="1" applyBorder="1" applyAlignment="1" applyProtection="1">
      <alignment horizontal="right"/>
      <protection/>
    </xf>
    <xf numFmtId="172" fontId="8" fillId="37" borderId="10" xfId="0" applyNumberFormat="1" applyFont="1" applyFill="1" applyBorder="1" applyAlignment="1" applyProtection="1">
      <alignment horizontal="right"/>
      <protection/>
    </xf>
    <xf numFmtId="172" fontId="8" fillId="37" borderId="15" xfId="0" applyNumberFormat="1" applyFont="1" applyFill="1" applyBorder="1" applyAlignment="1" applyProtection="1">
      <alignment horizontal="right"/>
      <protection/>
    </xf>
    <xf numFmtId="172" fontId="8" fillId="37" borderId="11" xfId="0" applyNumberFormat="1" applyFont="1" applyFill="1" applyBorder="1" applyAlignment="1" applyProtection="1">
      <alignment horizontal="right"/>
      <protection/>
    </xf>
    <xf numFmtId="172" fontId="8" fillId="37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8" borderId="14" xfId="0" applyFont="1" applyFill="1" applyBorder="1" applyAlignment="1">
      <alignment vertical="top" wrapText="1"/>
    </xf>
    <xf numFmtId="172" fontId="9" fillId="38" borderId="12" xfId="0" applyNumberFormat="1" applyFont="1" applyFill="1" applyBorder="1" applyAlignment="1" applyProtection="1">
      <alignment horizontal="right"/>
      <protection/>
    </xf>
    <xf numFmtId="172" fontId="9" fillId="38" borderId="10" xfId="0" applyNumberFormat="1" applyFont="1" applyFill="1" applyBorder="1" applyAlignment="1" applyProtection="1">
      <alignment horizontal="right"/>
      <protection/>
    </xf>
    <xf numFmtId="172" fontId="9" fillId="38" borderId="15" xfId="0" applyNumberFormat="1" applyFont="1" applyFill="1" applyBorder="1" applyAlignment="1" applyProtection="1">
      <alignment horizontal="right"/>
      <protection/>
    </xf>
    <xf numFmtId="172" fontId="9" fillId="38" borderId="36" xfId="0" applyNumberFormat="1" applyFont="1" applyFill="1" applyBorder="1" applyAlignment="1" applyProtection="1">
      <alignment horizontal="right"/>
      <protection/>
    </xf>
    <xf numFmtId="0" fontId="21" fillId="38" borderId="14" xfId="0" applyFont="1" applyFill="1" applyBorder="1" applyAlignment="1">
      <alignment horizontal="left" vertical="top" wrapText="1"/>
    </xf>
    <xf numFmtId="173" fontId="9" fillId="38" borderId="12" xfId="0" applyNumberFormat="1" applyFont="1" applyFill="1" applyBorder="1" applyAlignment="1">
      <alignment horizontal="right"/>
    </xf>
    <xf numFmtId="0" fontId="22" fillId="38" borderId="14" xfId="0" applyFont="1" applyFill="1" applyBorder="1" applyAlignment="1">
      <alignment wrapText="1"/>
    </xf>
    <xf numFmtId="0" fontId="9" fillId="38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8" borderId="14" xfId="0" applyFont="1" applyFill="1" applyBorder="1" applyAlignment="1">
      <alignment wrapText="1"/>
    </xf>
    <xf numFmtId="172" fontId="9" fillId="38" borderId="12" xfId="0" applyNumberFormat="1" applyFont="1" applyFill="1" applyBorder="1" applyAlignment="1" applyProtection="1">
      <alignment horizontal="right"/>
      <protection/>
    </xf>
    <xf numFmtId="172" fontId="9" fillId="38" borderId="10" xfId="0" applyNumberFormat="1" applyFont="1" applyFill="1" applyBorder="1" applyAlignment="1" applyProtection="1">
      <alignment horizontal="right"/>
      <protection/>
    </xf>
    <xf numFmtId="172" fontId="9" fillId="38" borderId="14" xfId="0" applyNumberFormat="1" applyFont="1" applyFill="1" applyBorder="1" applyAlignment="1" applyProtection="1">
      <alignment horizontal="right"/>
      <protection/>
    </xf>
    <xf numFmtId="172" fontId="9" fillId="38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6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9" borderId="10" xfId="0" applyNumberFormat="1" applyFont="1" applyFill="1" applyBorder="1" applyAlignment="1">
      <alignment/>
    </xf>
    <xf numFmtId="172" fontId="13" fillId="39" borderId="10" xfId="0" applyNumberFormat="1" applyFont="1" applyFill="1" applyBorder="1" applyAlignment="1">
      <alignment/>
    </xf>
    <xf numFmtId="172" fontId="3" fillId="39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6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36" xfId="0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172" fontId="11" fillId="37" borderId="11" xfId="0" applyNumberFormat="1" applyFont="1" applyFill="1" applyBorder="1" applyAlignment="1">
      <alignment/>
    </xf>
    <xf numFmtId="172" fontId="11" fillId="37" borderId="10" xfId="0" applyNumberFormat="1" applyFont="1" applyFill="1" applyBorder="1" applyAlignment="1">
      <alignment/>
    </xf>
    <xf numFmtId="172" fontId="11" fillId="37" borderId="36" xfId="0" applyNumberFormat="1" applyFont="1" applyFill="1" applyBorder="1" applyAlignment="1">
      <alignment/>
    </xf>
    <xf numFmtId="172" fontId="11" fillId="37" borderId="14" xfId="0" applyNumberFormat="1" applyFont="1" applyFill="1" applyBorder="1" applyAlignment="1">
      <alignment/>
    </xf>
    <xf numFmtId="0" fontId="11" fillId="37" borderId="0" xfId="0" applyFont="1" applyFill="1" applyAlignment="1">
      <alignment/>
    </xf>
    <xf numFmtId="172" fontId="0" fillId="37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7" borderId="36" xfId="0" applyNumberFormat="1" applyFont="1" applyFill="1" applyBorder="1" applyAlignment="1">
      <alignment/>
    </xf>
    <xf numFmtId="172" fontId="0" fillId="37" borderId="11" xfId="0" applyNumberFormat="1" applyFont="1" applyFill="1" applyBorder="1" applyAlignment="1">
      <alignment/>
    </xf>
    <xf numFmtId="172" fontId="0" fillId="37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7" borderId="36" xfId="0" applyNumberFormat="1" applyFont="1" applyFill="1" applyBorder="1" applyAlignment="1">
      <alignment/>
    </xf>
    <xf numFmtId="172" fontId="0" fillId="37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7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7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7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7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7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7" borderId="36" xfId="0" applyNumberFormat="1" applyFont="1" applyFill="1" applyBorder="1" applyAlignment="1">
      <alignment wrapText="1"/>
    </xf>
    <xf numFmtId="172" fontId="0" fillId="37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7" borderId="17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172" fontId="11" fillId="37" borderId="38" xfId="0" applyNumberFormat="1" applyFont="1" applyFill="1" applyBorder="1" applyAlignment="1">
      <alignment/>
    </xf>
    <xf numFmtId="172" fontId="11" fillId="37" borderId="17" xfId="0" applyNumberFormat="1" applyFont="1" applyFill="1" applyBorder="1" applyAlignment="1">
      <alignment/>
    </xf>
    <xf numFmtId="172" fontId="11" fillId="37" borderId="39" xfId="0" applyNumberFormat="1" applyFont="1" applyFill="1" applyBorder="1" applyAlignment="1">
      <alignment/>
    </xf>
    <xf numFmtId="0" fontId="11" fillId="37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8" borderId="14" xfId="0" applyFont="1" applyFill="1" applyBorder="1" applyAlignment="1">
      <alignment horizontal="right"/>
    </xf>
    <xf numFmtId="0" fontId="27" fillId="38" borderId="14" xfId="0" applyFont="1" applyFill="1" applyBorder="1" applyAlignment="1">
      <alignment horizontal="right"/>
    </xf>
    <xf numFmtId="0" fontId="0" fillId="38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9" borderId="0" xfId="0" applyFont="1" applyFill="1" applyBorder="1" applyAlignment="1">
      <alignment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1" xfId="0" applyFont="1" applyFill="1" applyBorder="1" applyAlignment="1">
      <alignment horizontal="center" wrapText="1"/>
    </xf>
    <xf numFmtId="0" fontId="0" fillId="37" borderId="42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4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5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1" fillId="4" borderId="17" xfId="0" applyNumberFormat="1" applyFont="1" applyFill="1" applyBorder="1" applyAlignment="1">
      <alignment/>
    </xf>
    <xf numFmtId="172" fontId="11" fillId="4" borderId="37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9" borderId="12" xfId="0" applyNumberFormat="1" applyFont="1" applyFill="1" applyBorder="1" applyAlignment="1">
      <alignment horizontal="right"/>
    </xf>
    <xf numFmtId="172" fontId="2" fillId="39" borderId="10" xfId="0" applyNumberFormat="1" applyFont="1" applyFill="1" applyBorder="1" applyAlignment="1">
      <alignment horizontal="right"/>
    </xf>
    <xf numFmtId="172" fontId="2" fillId="39" borderId="13" xfId="0" applyNumberFormat="1" applyFont="1" applyFill="1" applyBorder="1" applyAlignment="1">
      <alignment horizontal="right"/>
    </xf>
    <xf numFmtId="172" fontId="2" fillId="39" borderId="11" xfId="0" applyNumberFormat="1" applyFont="1" applyFill="1" applyBorder="1" applyAlignment="1">
      <alignment horizontal="right"/>
    </xf>
    <xf numFmtId="172" fontId="2" fillId="39" borderId="36" xfId="0" applyNumberFormat="1" applyFont="1" applyFill="1" applyBorder="1" applyAlignment="1">
      <alignment horizontal="right"/>
    </xf>
    <xf numFmtId="0" fontId="2" fillId="39" borderId="12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72" fontId="2" fillId="39" borderId="12" xfId="0" applyNumberFormat="1" applyFont="1" applyFill="1" applyBorder="1" applyAlignment="1">
      <alignment/>
    </xf>
    <xf numFmtId="172" fontId="3" fillId="39" borderId="10" xfId="0" applyNumberFormat="1" applyFont="1" applyFill="1" applyBorder="1" applyAlignment="1">
      <alignment/>
    </xf>
    <xf numFmtId="172" fontId="3" fillId="39" borderId="12" xfId="0" applyNumberFormat="1" applyFont="1" applyFill="1" applyBorder="1" applyAlignment="1">
      <alignment/>
    </xf>
    <xf numFmtId="172" fontId="3" fillId="39" borderId="16" xfId="0" applyNumberFormat="1" applyFont="1" applyFill="1" applyBorder="1" applyAlignment="1">
      <alignment/>
    </xf>
    <xf numFmtId="172" fontId="3" fillId="39" borderId="21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 horizontal="right"/>
    </xf>
    <xf numFmtId="172" fontId="0" fillId="4" borderId="10" xfId="0" applyNumberForma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172" fontId="0" fillId="39" borderId="11" xfId="0" applyNumberFormat="1" applyFont="1" applyFill="1" applyBorder="1" applyAlignment="1">
      <alignment/>
    </xf>
    <xf numFmtId="172" fontId="3" fillId="39" borderId="10" xfId="0" applyNumberFormat="1" applyFont="1" applyFill="1" applyBorder="1" applyAlignment="1" applyProtection="1">
      <alignment horizontal="right"/>
      <protection/>
    </xf>
    <xf numFmtId="172" fontId="2" fillId="39" borderId="10" xfId="0" applyNumberFormat="1" applyFont="1" applyFill="1" applyBorder="1" applyAlignment="1" applyProtection="1">
      <alignment horizontal="right"/>
      <protection/>
    </xf>
    <xf numFmtId="172" fontId="0" fillId="4" borderId="45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0" fontId="26" fillId="7" borderId="10" xfId="0" applyFont="1" applyFill="1" applyBorder="1" applyAlignment="1">
      <alignment horizontal="center"/>
    </xf>
    <xf numFmtId="172" fontId="9" fillId="39" borderId="15" xfId="0" applyNumberFormat="1" applyFont="1" applyFill="1" applyBorder="1" applyAlignment="1" applyProtection="1">
      <alignment horizontal="right"/>
      <protection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/>
    </xf>
    <xf numFmtId="0" fontId="26" fillId="7" borderId="48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41" borderId="29" xfId="0" applyFont="1" applyFill="1" applyBorder="1" applyAlignment="1">
      <alignment horizontal="center" vertical="center"/>
    </xf>
    <xf numFmtId="0" fontId="26" fillId="41" borderId="32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/>
    </xf>
    <xf numFmtId="0" fontId="26" fillId="7" borderId="53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9" borderId="56" xfId="0" applyFont="1" applyFill="1" applyBorder="1" applyAlignment="1">
      <alignment horizontal="center" wrapText="1"/>
    </xf>
    <xf numFmtId="0" fontId="8" fillId="39" borderId="40" xfId="0" applyFont="1" applyFill="1" applyBorder="1" applyAlignment="1">
      <alignment horizontal="center" wrapText="1"/>
    </xf>
    <xf numFmtId="0" fontId="8" fillId="39" borderId="57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41" borderId="56" xfId="0" applyFont="1" applyFill="1" applyBorder="1" applyAlignment="1">
      <alignment horizontal="center" wrapText="1"/>
    </xf>
    <xf numFmtId="0" fontId="8" fillId="41" borderId="40" xfId="0" applyFont="1" applyFill="1" applyBorder="1" applyAlignment="1">
      <alignment horizontal="center" wrapText="1"/>
    </xf>
    <xf numFmtId="0" fontId="8" fillId="41" borderId="60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reva\&#1076;&#1086;&#1082;&#1091;&#1084;&#1077;&#1085;&#1090;&#1099;%20&#1082;&#1085;&#1091;&#1088;&#1077;&#1074;&#1072;\&#1055;&#1086;&#1089;&#1090;&#1091;&#1087;&#1083;&#1077;&#1085;&#1080;&#1077;%20&#1076;&#1086;&#1093;&#1086;&#1076;&#1086;&#1074;.%20&#1048;&#1090;&#1086;&#1075;&#1080;\2019\&#1055;&#1054;&#1057;&#1045;&#1051;&#1045;&#1053;&#1048;&#1071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9"/>
      <sheetName val="01.03.19 "/>
      <sheetName val="01.04.19"/>
      <sheetName val="01.05.19"/>
      <sheetName val="01.06.19"/>
      <sheetName val="01.07.19"/>
      <sheetName val="01.08.19"/>
      <sheetName val="01.09.19"/>
      <sheetName val="01.10.19 "/>
      <sheetName val="01.11.19"/>
      <sheetName val="01.12.19"/>
      <sheetName val="01.01.2020"/>
      <sheetName val="Лист2"/>
    </sheetNames>
    <sheetDataSet>
      <sheetData sheetId="7">
        <row r="9">
          <cell r="E9">
            <v>64250.8</v>
          </cell>
          <cell r="K9">
            <v>2686.0999999999995</v>
          </cell>
          <cell r="Q9">
            <v>3989.1</v>
          </cell>
          <cell r="W9">
            <v>4767.1</v>
          </cell>
          <cell r="AC9">
            <v>2510.2</v>
          </cell>
          <cell r="AI9">
            <v>2182.9000000000005</v>
          </cell>
          <cell r="AO9">
            <v>2484.9</v>
          </cell>
          <cell r="AU9">
            <v>2189.7000000000003</v>
          </cell>
          <cell r="BA9">
            <v>5369</v>
          </cell>
          <cell r="BG9">
            <v>733.6999999999999</v>
          </cell>
          <cell r="BM9">
            <v>2199</v>
          </cell>
          <cell r="BS9">
            <v>7505.4</v>
          </cell>
        </row>
        <row r="10">
          <cell r="E10">
            <v>37142</v>
          </cell>
          <cell r="K10">
            <v>473.3</v>
          </cell>
          <cell r="Q10">
            <v>1089</v>
          </cell>
          <cell r="W10">
            <v>3614.5</v>
          </cell>
          <cell r="AC10">
            <v>647.1</v>
          </cell>
          <cell r="AI10">
            <v>815.4</v>
          </cell>
          <cell r="AO10">
            <v>336.3</v>
          </cell>
          <cell r="AU10">
            <v>408.2</v>
          </cell>
          <cell r="BA10">
            <v>1545.7</v>
          </cell>
          <cell r="BG10">
            <v>315.3</v>
          </cell>
          <cell r="BM10">
            <v>664.2</v>
          </cell>
          <cell r="BS10">
            <v>2739.7</v>
          </cell>
        </row>
        <row r="11">
          <cell r="E11">
            <v>1692.3</v>
          </cell>
          <cell r="BS11">
            <v>627.4</v>
          </cell>
        </row>
        <row r="13">
          <cell r="E13">
            <v>1266.1</v>
          </cell>
          <cell r="K13">
            <v>261.2</v>
          </cell>
          <cell r="Q13">
            <v>18.6</v>
          </cell>
          <cell r="W13">
            <v>55.3</v>
          </cell>
          <cell r="AC13">
            <v>328.9</v>
          </cell>
          <cell r="AI13">
            <v>196.9</v>
          </cell>
          <cell r="AO13">
            <v>504</v>
          </cell>
          <cell r="AU13">
            <v>637.1</v>
          </cell>
          <cell r="BA13">
            <v>2480.3</v>
          </cell>
          <cell r="BG13">
            <v>73.7</v>
          </cell>
          <cell r="BM13">
            <v>142.7</v>
          </cell>
        </row>
        <row r="14">
          <cell r="E14">
            <v>1629.3</v>
          </cell>
          <cell r="K14">
            <v>37.3</v>
          </cell>
          <cell r="Q14">
            <v>106.5</v>
          </cell>
          <cell r="W14">
            <v>15.5</v>
          </cell>
          <cell r="AC14">
            <v>10.3</v>
          </cell>
          <cell r="AI14">
            <v>78.9</v>
          </cell>
          <cell r="AO14">
            <v>40.4</v>
          </cell>
          <cell r="AU14">
            <v>10.4</v>
          </cell>
          <cell r="BA14">
            <v>94.2</v>
          </cell>
          <cell r="BG14">
            <v>11.3</v>
          </cell>
          <cell r="BM14">
            <v>104.2</v>
          </cell>
          <cell r="BS14">
            <v>170.5</v>
          </cell>
        </row>
        <row r="15">
          <cell r="E15">
            <v>13918</v>
          </cell>
          <cell r="K15">
            <v>1674.9</v>
          </cell>
          <cell r="Q15">
            <v>2448</v>
          </cell>
          <cell r="W15">
            <v>1035.5</v>
          </cell>
          <cell r="AC15">
            <v>1419.9</v>
          </cell>
          <cell r="AI15">
            <v>927.1</v>
          </cell>
          <cell r="AO15">
            <v>1338.4</v>
          </cell>
          <cell r="AU15">
            <v>443.1</v>
          </cell>
          <cell r="BA15">
            <v>1178.5</v>
          </cell>
          <cell r="BG15">
            <v>250</v>
          </cell>
          <cell r="BM15">
            <v>988.7</v>
          </cell>
          <cell r="BS15">
            <v>2790.9</v>
          </cell>
        </row>
        <row r="16">
          <cell r="K16">
            <v>22.2</v>
          </cell>
          <cell r="Q16">
            <v>65.9</v>
          </cell>
          <cell r="W16">
            <v>14.1</v>
          </cell>
          <cell r="AC16">
            <v>39.5</v>
          </cell>
          <cell r="AI16">
            <v>35.3</v>
          </cell>
          <cell r="AO16">
            <v>20</v>
          </cell>
          <cell r="AU16">
            <v>28.4</v>
          </cell>
          <cell r="BA16">
            <v>8.1</v>
          </cell>
          <cell r="BG16">
            <v>34.5</v>
          </cell>
          <cell r="BM16">
            <v>71.1</v>
          </cell>
          <cell r="BS16">
            <v>49.8</v>
          </cell>
        </row>
        <row r="18">
          <cell r="E18">
            <v>8603.099999999999</v>
          </cell>
          <cell r="K18">
            <v>217.20000000000002</v>
          </cell>
          <cell r="Q18">
            <v>261.09999999999997</v>
          </cell>
          <cell r="W18">
            <v>32.2</v>
          </cell>
          <cell r="AC18">
            <v>64.5</v>
          </cell>
          <cell r="AI18">
            <v>129.29999999999998</v>
          </cell>
          <cell r="AO18">
            <v>245.8</v>
          </cell>
          <cell r="AU18">
            <v>662.5</v>
          </cell>
          <cell r="BA18">
            <v>62.2</v>
          </cell>
          <cell r="BG18">
            <v>48.9</v>
          </cell>
          <cell r="BM18">
            <v>228.10000000000002</v>
          </cell>
          <cell r="BS18">
            <v>1127.1</v>
          </cell>
        </row>
        <row r="19">
          <cell r="E19">
            <v>3888</v>
          </cell>
          <cell r="K19">
            <v>146.2</v>
          </cell>
          <cell r="Q19">
            <v>96.5</v>
          </cell>
          <cell r="W19">
            <v>9.4</v>
          </cell>
          <cell r="AC19">
            <v>44</v>
          </cell>
          <cell r="AO19">
            <v>206.9</v>
          </cell>
          <cell r="AU19">
            <v>47.7</v>
          </cell>
          <cell r="BM19">
            <v>138.4</v>
          </cell>
          <cell r="BS19">
            <v>113.3</v>
          </cell>
        </row>
        <row r="20">
          <cell r="E20">
            <v>751.3</v>
          </cell>
          <cell r="K20">
            <v>63.6</v>
          </cell>
          <cell r="AI20">
            <v>21.1</v>
          </cell>
          <cell r="BG20">
            <v>34.1</v>
          </cell>
          <cell r="BS20">
            <v>343</v>
          </cell>
        </row>
        <row r="21">
          <cell r="E21">
            <v>86.4</v>
          </cell>
        </row>
        <row r="22">
          <cell r="E22">
            <v>565.7</v>
          </cell>
          <cell r="K22">
            <v>0.8</v>
          </cell>
          <cell r="Q22">
            <v>111.1</v>
          </cell>
          <cell r="W22">
            <v>5.2</v>
          </cell>
          <cell r="AI22">
            <v>92</v>
          </cell>
          <cell r="AO22">
            <v>8.3</v>
          </cell>
          <cell r="BA22">
            <v>4.3</v>
          </cell>
          <cell r="BM22">
            <v>69.2</v>
          </cell>
          <cell r="BS22">
            <v>182.6</v>
          </cell>
        </row>
        <row r="23">
          <cell r="E23">
            <v>261.9</v>
          </cell>
          <cell r="K23">
            <v>2.8</v>
          </cell>
          <cell r="Q23">
            <v>12.1</v>
          </cell>
          <cell r="W23">
            <v>14.1</v>
          </cell>
          <cell r="AC23">
            <v>19.9</v>
          </cell>
          <cell r="AI23">
            <v>9.3</v>
          </cell>
          <cell r="AU23">
            <v>3.1</v>
          </cell>
          <cell r="BA23">
            <v>11.5</v>
          </cell>
          <cell r="BG23">
            <v>10</v>
          </cell>
          <cell r="BM23">
            <v>5.9</v>
          </cell>
          <cell r="BS23">
            <v>15</v>
          </cell>
        </row>
        <row r="24">
          <cell r="E24">
            <v>583.9</v>
          </cell>
          <cell r="Q24">
            <v>40</v>
          </cell>
          <cell r="BS24">
            <v>149</v>
          </cell>
        </row>
        <row r="25">
          <cell r="E25">
            <v>1727.8</v>
          </cell>
          <cell r="AU25">
            <v>606</v>
          </cell>
          <cell r="BS25">
            <v>231.4</v>
          </cell>
        </row>
        <row r="26">
          <cell r="W26">
            <v>3.2</v>
          </cell>
        </row>
        <row r="27">
          <cell r="E27">
            <v>738.1</v>
          </cell>
          <cell r="K27">
            <v>3.8</v>
          </cell>
          <cell r="Q27">
            <v>1.4</v>
          </cell>
          <cell r="W27">
            <v>0.3</v>
          </cell>
          <cell r="AC27">
            <v>0.6</v>
          </cell>
          <cell r="AI27">
            <v>6.9</v>
          </cell>
          <cell r="AO27">
            <v>30.6</v>
          </cell>
          <cell r="AU27">
            <v>5.7</v>
          </cell>
          <cell r="BA27">
            <v>46.4</v>
          </cell>
          <cell r="BG27">
            <v>4.8</v>
          </cell>
          <cell r="BM27">
            <v>14.6</v>
          </cell>
          <cell r="BS27">
            <v>92.8</v>
          </cell>
        </row>
        <row r="28">
          <cell r="E28">
            <v>132183.80000000002</v>
          </cell>
          <cell r="K28">
            <v>9499.3</v>
          </cell>
          <cell r="Q28">
            <v>26920.9</v>
          </cell>
          <cell r="W28">
            <v>926.8</v>
          </cell>
          <cell r="AC28">
            <v>6760.900000000001</v>
          </cell>
          <cell r="AI28">
            <v>15402.4</v>
          </cell>
          <cell r="AO28">
            <v>6728.599999999999</v>
          </cell>
          <cell r="AU28">
            <v>7480</v>
          </cell>
          <cell r="BA28">
            <v>4910.1</v>
          </cell>
          <cell r="BG28">
            <v>4606.900000000001</v>
          </cell>
          <cell r="BM28">
            <v>18745.199999999997</v>
          </cell>
          <cell r="BS28">
            <v>18145.699999999997</v>
          </cell>
        </row>
        <row r="29">
          <cell r="E29">
            <v>24531.7</v>
          </cell>
          <cell r="K29">
            <v>9002.5</v>
          </cell>
          <cell r="Q29">
            <v>17304</v>
          </cell>
          <cell r="W29">
            <v>667.1</v>
          </cell>
          <cell r="AC29">
            <v>5030</v>
          </cell>
          <cell r="AI29">
            <v>9300</v>
          </cell>
          <cell r="AO29">
            <v>6500.3</v>
          </cell>
          <cell r="AU29">
            <v>6590</v>
          </cell>
          <cell r="BA29">
            <v>3561</v>
          </cell>
          <cell r="BG29">
            <v>4505.8</v>
          </cell>
          <cell r="BM29">
            <v>12088.9</v>
          </cell>
          <cell r="BS29">
            <v>10436.9</v>
          </cell>
        </row>
        <row r="31">
          <cell r="E31">
            <v>0.2</v>
          </cell>
          <cell r="K31">
            <v>156.3</v>
          </cell>
          <cell r="Q31">
            <v>180.2</v>
          </cell>
          <cell r="W31">
            <v>157.2</v>
          </cell>
          <cell r="AC31">
            <v>154.1</v>
          </cell>
          <cell r="AI31">
            <v>312.5</v>
          </cell>
          <cell r="AO31">
            <v>140.4</v>
          </cell>
          <cell r="AU31">
            <v>158.8</v>
          </cell>
          <cell r="BA31">
            <v>149</v>
          </cell>
          <cell r="BG31">
            <v>71.6</v>
          </cell>
          <cell r="BM31">
            <v>155.3</v>
          </cell>
          <cell r="BS31">
            <v>155.9</v>
          </cell>
        </row>
        <row r="32">
          <cell r="E32">
            <v>107317.3</v>
          </cell>
          <cell r="K32">
            <v>340.5</v>
          </cell>
          <cell r="Q32">
            <v>9436.7</v>
          </cell>
          <cell r="W32">
            <v>102.5</v>
          </cell>
          <cell r="AC32">
            <v>1576.8</v>
          </cell>
          <cell r="AI32">
            <v>5789.9</v>
          </cell>
          <cell r="AO32">
            <v>87.9</v>
          </cell>
          <cell r="AU32">
            <v>731.2</v>
          </cell>
          <cell r="BA32">
            <v>1200.1</v>
          </cell>
          <cell r="BG32">
            <v>29.5</v>
          </cell>
          <cell r="BM32">
            <v>6501</v>
          </cell>
          <cell r="BS32">
            <v>7552.9</v>
          </cell>
        </row>
        <row r="33">
          <cell r="E33">
            <v>334.6</v>
          </cell>
        </row>
        <row r="34">
          <cell r="E34">
            <v>196434.60000000003</v>
          </cell>
          <cell r="K34">
            <v>12185.399999999998</v>
          </cell>
          <cell r="Q34">
            <v>30910</v>
          </cell>
          <cell r="W34">
            <v>5693.900000000001</v>
          </cell>
          <cell r="AC34">
            <v>9271.1</v>
          </cell>
          <cell r="AI34">
            <v>17585.3</v>
          </cell>
          <cell r="AO34">
            <v>9213.5</v>
          </cell>
          <cell r="AU34">
            <v>9669.7</v>
          </cell>
          <cell r="BA34">
            <v>10279.1</v>
          </cell>
          <cell r="BG34">
            <v>5340.6</v>
          </cell>
          <cell r="BM34">
            <v>20944.199999999997</v>
          </cell>
          <cell r="BS34">
            <v>25651.1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Z26" sqref="BZ26"/>
    </sheetView>
  </sheetViews>
  <sheetFormatPr defaultColWidth="9.00390625" defaultRowHeight="12.75"/>
  <cols>
    <col min="1" max="1" width="51.25390625" style="98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4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1.75390625" style="1" hidden="1" customWidth="1"/>
    <col min="40" max="40" width="12.25390625" style="1" hidden="1" customWidth="1"/>
    <col min="41" max="41" width="9.25390625" style="1" hidden="1" customWidth="1"/>
    <col min="42" max="42" width="13.00390625" style="1" customWidth="1"/>
    <col min="43" max="43" width="14.25390625" style="1" customWidth="1"/>
    <col min="44" max="44" width="13.375" style="1" customWidth="1"/>
    <col min="45" max="45" width="10.625" style="1" customWidth="1"/>
    <col min="46" max="47" width="12.875" style="47" customWidth="1"/>
    <col min="48" max="48" width="13.25390625" style="47" customWidth="1"/>
    <col min="49" max="49" width="10.00390625" style="99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customWidth="1"/>
    <col min="59" max="59" width="12.75390625" style="1" customWidth="1"/>
    <col min="60" max="60" width="12.625" style="1" customWidth="1"/>
    <col min="61" max="61" width="11.75390625" style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8.75390625" style="47" customWidth="1"/>
    <col min="83" max="16384" width="9.125" style="47" customWidth="1"/>
  </cols>
  <sheetData>
    <row r="1" spans="1:49" s="1" customFormat="1" ht="50.25" customHeight="1" thickBot="1">
      <c r="A1" s="449" t="s">
        <v>154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V1" s="2"/>
      <c r="W1" s="2"/>
      <c r="X1" s="2"/>
      <c r="Y1" s="2"/>
      <c r="AW1" s="2"/>
    </row>
    <row r="2" spans="1:77" s="4" customFormat="1" ht="21" customHeight="1">
      <c r="A2" s="427" t="s">
        <v>106</v>
      </c>
      <c r="B2" s="429" t="s">
        <v>146</v>
      </c>
      <c r="C2" s="430"/>
      <c r="D2" s="430"/>
      <c r="E2" s="431"/>
      <c r="F2" s="432" t="s">
        <v>1</v>
      </c>
      <c r="G2" s="433"/>
      <c r="H2" s="433"/>
      <c r="I2" s="434"/>
      <c r="J2" s="435" t="s">
        <v>2</v>
      </c>
      <c r="K2" s="436"/>
      <c r="L2" s="436"/>
      <c r="M2" s="437"/>
      <c r="N2" s="417" t="s">
        <v>3</v>
      </c>
      <c r="O2" s="398"/>
      <c r="P2" s="398"/>
      <c r="Q2" s="398"/>
      <c r="R2" s="398" t="s">
        <v>4</v>
      </c>
      <c r="S2" s="398"/>
      <c r="T2" s="398"/>
      <c r="U2" s="398"/>
      <c r="V2" s="398" t="s">
        <v>5</v>
      </c>
      <c r="W2" s="398"/>
      <c r="X2" s="398"/>
      <c r="Y2" s="398"/>
      <c r="Z2" s="399" t="s">
        <v>6</v>
      </c>
      <c r="AA2" s="422"/>
      <c r="AB2" s="422"/>
      <c r="AC2" s="400"/>
      <c r="AD2" s="408" t="s">
        <v>103</v>
      </c>
      <c r="AE2" s="409"/>
      <c r="AF2" s="409"/>
      <c r="AG2" s="417"/>
      <c r="AH2" s="408" t="s">
        <v>7</v>
      </c>
      <c r="AI2" s="409"/>
      <c r="AJ2" s="409"/>
      <c r="AK2" s="417"/>
      <c r="AL2" s="398" t="s">
        <v>8</v>
      </c>
      <c r="AM2" s="398"/>
      <c r="AN2" s="398"/>
      <c r="AO2" s="398"/>
      <c r="AP2" s="418" t="s">
        <v>9</v>
      </c>
      <c r="AQ2" s="418"/>
      <c r="AR2" s="418"/>
      <c r="AS2" s="419"/>
      <c r="AT2" s="420" t="s">
        <v>10</v>
      </c>
      <c r="AU2" s="414"/>
      <c r="AV2" s="414"/>
      <c r="AW2" s="415"/>
      <c r="AX2" s="411" t="s">
        <v>11</v>
      </c>
      <c r="AY2" s="412"/>
      <c r="AZ2" s="412"/>
      <c r="BA2" s="413"/>
      <c r="BB2" s="411" t="s">
        <v>12</v>
      </c>
      <c r="BC2" s="412"/>
      <c r="BD2" s="412"/>
      <c r="BE2" s="413"/>
      <c r="BF2" s="412" t="s">
        <v>13</v>
      </c>
      <c r="BG2" s="412"/>
      <c r="BH2" s="412"/>
      <c r="BI2" s="413"/>
      <c r="BJ2" s="414" t="s">
        <v>14</v>
      </c>
      <c r="BK2" s="414"/>
      <c r="BL2" s="414"/>
      <c r="BM2" s="415"/>
      <c r="BN2" s="411" t="s">
        <v>104</v>
      </c>
      <c r="BO2" s="412"/>
      <c r="BP2" s="412"/>
      <c r="BQ2" s="412"/>
      <c r="BR2" s="407" t="s">
        <v>105</v>
      </c>
      <c r="BS2" s="407"/>
      <c r="BT2" s="407"/>
      <c r="BU2" s="407"/>
      <c r="BV2" s="416" t="s">
        <v>15</v>
      </c>
      <c r="BW2" s="407"/>
      <c r="BX2" s="407"/>
      <c r="BY2" s="407"/>
    </row>
    <row r="3" spans="1:77" s="4" customFormat="1" ht="19.5" customHeight="1">
      <c r="A3" s="428"/>
      <c r="B3" s="438" t="s">
        <v>16</v>
      </c>
      <c r="C3" s="392" t="s">
        <v>17</v>
      </c>
      <c r="D3" s="441" t="s">
        <v>18</v>
      </c>
      <c r="E3" s="442"/>
      <c r="F3" s="421" t="s">
        <v>16</v>
      </c>
      <c r="G3" s="403" t="s">
        <v>17</v>
      </c>
      <c r="H3" s="404" t="s">
        <v>18</v>
      </c>
      <c r="I3" s="405"/>
      <c r="J3" s="390" t="s">
        <v>16</v>
      </c>
      <c r="K3" s="391" t="s">
        <v>17</v>
      </c>
      <c r="L3" s="395" t="s">
        <v>18</v>
      </c>
      <c r="M3" s="396"/>
      <c r="N3" s="397" t="s">
        <v>16</v>
      </c>
      <c r="O3" s="392" t="s">
        <v>17</v>
      </c>
      <c r="P3" s="398" t="s">
        <v>18</v>
      </c>
      <c r="Q3" s="398"/>
      <c r="R3" s="392" t="s">
        <v>16</v>
      </c>
      <c r="S3" s="392" t="s">
        <v>17</v>
      </c>
      <c r="T3" s="398" t="s">
        <v>18</v>
      </c>
      <c r="U3" s="398"/>
      <c r="V3" s="392" t="s">
        <v>16</v>
      </c>
      <c r="W3" s="392" t="s">
        <v>17</v>
      </c>
      <c r="X3" s="398" t="s">
        <v>18</v>
      </c>
      <c r="Y3" s="398"/>
      <c r="Z3" s="450" t="s">
        <v>16</v>
      </c>
      <c r="AA3" s="450" t="s">
        <v>17</v>
      </c>
      <c r="AB3" s="399" t="s">
        <v>18</v>
      </c>
      <c r="AC3" s="400"/>
      <c r="AD3" s="401" t="s">
        <v>16</v>
      </c>
      <c r="AE3" s="401" t="s">
        <v>17</v>
      </c>
      <c r="AF3" s="408" t="s">
        <v>18</v>
      </c>
      <c r="AG3" s="417"/>
      <c r="AH3" s="401" t="s">
        <v>16</v>
      </c>
      <c r="AI3" s="401" t="s">
        <v>17</v>
      </c>
      <c r="AJ3" s="408" t="s">
        <v>18</v>
      </c>
      <c r="AK3" s="417"/>
      <c r="AL3" s="392" t="s">
        <v>16</v>
      </c>
      <c r="AM3" s="392" t="s">
        <v>17</v>
      </c>
      <c r="AN3" s="398" t="s">
        <v>18</v>
      </c>
      <c r="AO3" s="398"/>
      <c r="AP3" s="452" t="s">
        <v>16</v>
      </c>
      <c r="AQ3" s="454" t="s">
        <v>17</v>
      </c>
      <c r="AR3" s="434" t="s">
        <v>18</v>
      </c>
      <c r="AS3" s="456"/>
      <c r="AT3" s="393" t="s">
        <v>16</v>
      </c>
      <c r="AU3" s="450" t="s">
        <v>17</v>
      </c>
      <c r="AV3" s="399" t="s">
        <v>18</v>
      </c>
      <c r="AW3" s="426"/>
      <c r="AX3" s="445" t="s">
        <v>16</v>
      </c>
      <c r="AY3" s="401" t="s">
        <v>17</v>
      </c>
      <c r="AZ3" s="408" t="s">
        <v>18</v>
      </c>
      <c r="BA3" s="423"/>
      <c r="BB3" s="424" t="s">
        <v>16</v>
      </c>
      <c r="BC3" s="401" t="s">
        <v>17</v>
      </c>
      <c r="BD3" s="408" t="s">
        <v>18</v>
      </c>
      <c r="BE3" s="423"/>
      <c r="BF3" s="457" t="s">
        <v>16</v>
      </c>
      <c r="BG3" s="401" t="s">
        <v>17</v>
      </c>
      <c r="BH3" s="408" t="s">
        <v>18</v>
      </c>
      <c r="BI3" s="423"/>
      <c r="BJ3" s="443" t="s">
        <v>16</v>
      </c>
      <c r="BK3" s="447" t="s">
        <v>17</v>
      </c>
      <c r="BL3" s="399" t="s">
        <v>18</v>
      </c>
      <c r="BM3" s="426"/>
      <c r="BN3" s="445" t="s">
        <v>16</v>
      </c>
      <c r="BO3" s="401" t="s">
        <v>17</v>
      </c>
      <c r="BP3" s="408" t="s">
        <v>18</v>
      </c>
      <c r="BQ3" s="409"/>
      <c r="BR3" s="406" t="s">
        <v>16</v>
      </c>
      <c r="BS3" s="406" t="s">
        <v>17</v>
      </c>
      <c r="BT3" s="407" t="s">
        <v>18</v>
      </c>
      <c r="BU3" s="407"/>
      <c r="BV3" s="410" t="s">
        <v>16</v>
      </c>
      <c r="BW3" s="406" t="s">
        <v>17</v>
      </c>
      <c r="BX3" s="407" t="s">
        <v>18</v>
      </c>
      <c r="BY3" s="407"/>
    </row>
    <row r="4" spans="1:77" s="4" customFormat="1" ht="16.5" customHeight="1">
      <c r="A4" s="428"/>
      <c r="B4" s="439"/>
      <c r="C4" s="440"/>
      <c r="D4" s="225" t="s">
        <v>19</v>
      </c>
      <c r="E4" s="229" t="s">
        <v>20</v>
      </c>
      <c r="F4" s="421"/>
      <c r="G4" s="403"/>
      <c r="H4" s="494" t="s">
        <v>19</v>
      </c>
      <c r="I4" s="495" t="s">
        <v>20</v>
      </c>
      <c r="J4" s="390"/>
      <c r="K4" s="391"/>
      <c r="L4" s="227" t="s">
        <v>19</v>
      </c>
      <c r="M4" s="228" t="s">
        <v>20</v>
      </c>
      <c r="N4" s="397"/>
      <c r="O4" s="392"/>
      <c r="P4" s="225" t="s">
        <v>19</v>
      </c>
      <c r="Q4" s="230" t="s">
        <v>20</v>
      </c>
      <c r="R4" s="392"/>
      <c r="S4" s="392"/>
      <c r="T4" s="225" t="s">
        <v>19</v>
      </c>
      <c r="U4" s="3" t="s">
        <v>20</v>
      </c>
      <c r="V4" s="392"/>
      <c r="W4" s="392"/>
      <c r="X4" s="225" t="s">
        <v>19</v>
      </c>
      <c r="Y4" s="3" t="s">
        <v>20</v>
      </c>
      <c r="Z4" s="451"/>
      <c r="AA4" s="451"/>
      <c r="AB4" s="227" t="s">
        <v>19</v>
      </c>
      <c r="AC4" s="227" t="s">
        <v>20</v>
      </c>
      <c r="AD4" s="402"/>
      <c r="AE4" s="402"/>
      <c r="AF4" s="225" t="s">
        <v>19</v>
      </c>
      <c r="AG4" s="225" t="s">
        <v>20</v>
      </c>
      <c r="AH4" s="402"/>
      <c r="AI4" s="402"/>
      <c r="AJ4" s="225" t="s">
        <v>19</v>
      </c>
      <c r="AK4" s="225" t="s">
        <v>20</v>
      </c>
      <c r="AL4" s="392"/>
      <c r="AM4" s="392"/>
      <c r="AN4" s="225" t="s">
        <v>19</v>
      </c>
      <c r="AO4" s="225" t="s">
        <v>20</v>
      </c>
      <c r="AP4" s="453"/>
      <c r="AQ4" s="455"/>
      <c r="AR4" s="388" t="s">
        <v>19</v>
      </c>
      <c r="AS4" s="231" t="s">
        <v>20</v>
      </c>
      <c r="AT4" s="394"/>
      <c r="AU4" s="451"/>
      <c r="AV4" s="227" t="s">
        <v>19</v>
      </c>
      <c r="AW4" s="228" t="s">
        <v>20</v>
      </c>
      <c r="AX4" s="446"/>
      <c r="AY4" s="402"/>
      <c r="AZ4" s="225" t="s">
        <v>19</v>
      </c>
      <c r="BA4" s="226" t="s">
        <v>20</v>
      </c>
      <c r="BB4" s="425"/>
      <c r="BC4" s="402"/>
      <c r="BD4" s="225" t="s">
        <v>19</v>
      </c>
      <c r="BE4" s="229" t="s">
        <v>20</v>
      </c>
      <c r="BF4" s="458"/>
      <c r="BG4" s="402"/>
      <c r="BH4" s="225" t="s">
        <v>19</v>
      </c>
      <c r="BI4" s="229" t="s">
        <v>20</v>
      </c>
      <c r="BJ4" s="444"/>
      <c r="BK4" s="448"/>
      <c r="BL4" s="227" t="s">
        <v>19</v>
      </c>
      <c r="BM4" s="228" t="s">
        <v>20</v>
      </c>
      <c r="BN4" s="446"/>
      <c r="BO4" s="402"/>
      <c r="BP4" s="225" t="s">
        <v>19</v>
      </c>
      <c r="BQ4" s="226" t="s">
        <v>20</v>
      </c>
      <c r="BR4" s="406"/>
      <c r="BS4" s="406"/>
      <c r="BT4" s="3" t="s">
        <v>19</v>
      </c>
      <c r="BU4" s="3" t="s">
        <v>20</v>
      </c>
      <c r="BV4" s="410"/>
      <c r="BW4" s="406"/>
      <c r="BX4" s="3" t="s">
        <v>19</v>
      </c>
      <c r="BY4" s="3" t="s">
        <v>20</v>
      </c>
    </row>
    <row r="5" spans="1:78" s="21" customFormat="1" ht="18.75">
      <c r="A5" s="5" t="s">
        <v>106</v>
      </c>
      <c r="B5" s="6">
        <f>B6+B7+B8+B12+B21+B24+B31+B33+B35+B38+B39</f>
        <v>506632</v>
      </c>
      <c r="C5" s="7">
        <f>C6+C7+C8+C12+C21+C24+C31+C33+C35+C38+C39</f>
        <v>382758.60000000003</v>
      </c>
      <c r="D5" s="8">
        <f aca="true" t="shared" si="0" ref="D5:D39">C5-B5</f>
        <v>-123873.39999999997</v>
      </c>
      <c r="E5" s="20">
        <f aca="true" t="shared" si="1" ref="E5:E38">C5/B5%</f>
        <v>75.54962971150658</v>
      </c>
      <c r="F5" s="9">
        <f aca="true" t="shared" si="2" ref="F5:G37">J5+Z5</f>
        <v>235857.5</v>
      </c>
      <c r="G5" s="10">
        <f t="shared" si="2"/>
        <v>250065.59999999998</v>
      </c>
      <c r="H5" s="10">
        <f aca="true" t="shared" si="3" ref="H5:H37">G5-F5</f>
        <v>14208.099999999977</v>
      </c>
      <c r="I5" s="11">
        <f aca="true" t="shared" si="4" ref="I5:I11">G5/F5%</f>
        <v>106.02401874012911</v>
      </c>
      <c r="J5" s="12">
        <f>J6+J7+J8+J12+J21+J24+J31+J33+J35+J38+J39</f>
        <v>107569.8</v>
      </c>
      <c r="K5" s="12">
        <f>K6+K7+K8+K12+K21+K24+K31+K33+K35+K38+K39</f>
        <v>117316.09999999998</v>
      </c>
      <c r="L5" s="496">
        <f aca="true" t="shared" si="5" ref="L5:L37">K5-J5</f>
        <v>9746.299999999974</v>
      </c>
      <c r="M5" s="497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128287.7</v>
      </c>
      <c r="AA5" s="12">
        <f>AA6+AA7+AA8+AA12+AA21+AA24+AA31+AA33+AA35+AA38+AA39</f>
        <v>132749.5</v>
      </c>
      <c r="AB5" s="496">
        <f>AA5-Z5</f>
        <v>4461.800000000003</v>
      </c>
      <c r="AC5" s="496">
        <f>AA5/Z5%</f>
        <v>103.47796398251742</v>
      </c>
      <c r="AD5" s="13">
        <f>AD6+AD7+AD8+AD12+AD21+AD24+AD31+AD33+AD35+AD38+AD39</f>
        <v>42019.299999999996</v>
      </c>
      <c r="AE5" s="13">
        <f>AE6+AE7+AE8+AE12+AE21+AE24+AE31+AE33+AE35+AE38+AE39</f>
        <v>48789.4</v>
      </c>
      <c r="AF5" s="7">
        <f>AE5-AD5</f>
        <v>6770.100000000006</v>
      </c>
      <c r="AG5" s="7">
        <f>AE5/AD5%</f>
        <v>116.11188192092682</v>
      </c>
      <c r="AH5" s="13">
        <f>AH6+AH7+AH8+AH12+AH21+AH24+AH31+AH33+AH35+AH38+AH39</f>
        <v>37578.1</v>
      </c>
      <c r="AI5" s="13">
        <f>AI6+AI7+AI8+AI12+AI21+AI24+AI31+AI33+AI35+AI38+AI39</f>
        <v>38897.50000000001</v>
      </c>
      <c r="AJ5" s="7">
        <f aca="true" t="shared" si="11" ref="AJ5:AJ38">AI5-AH5</f>
        <v>1319.4000000000087</v>
      </c>
      <c r="AK5" s="7">
        <f>AI5/AH5%</f>
        <v>103.51108757494393</v>
      </c>
      <c r="AL5" s="13">
        <f>AL6+AL7+AL8+AL12+AL21+AL24+AL31+AL33+AL35+AL38+AL39</f>
        <v>48690.3</v>
      </c>
      <c r="AM5" s="13">
        <f>AM6+AM7+AM8+AM12+AM21+AM24+AM31+AM33+AM35+AM38+AM39</f>
        <v>45062.599999999984</v>
      </c>
      <c r="AN5" s="7">
        <f aca="true" t="shared" si="12" ref="AN5:AN38">AM5-AL5</f>
        <v>-3627.700000000019</v>
      </c>
      <c r="AO5" s="7">
        <f aca="true" t="shared" si="13" ref="AO5:AO37">AM5/AL5%</f>
        <v>92.5494400322035</v>
      </c>
      <c r="AP5" s="14">
        <f>J5+Z5+AT5</f>
        <v>373950.80000000005</v>
      </c>
      <c r="AQ5" s="14">
        <f>K5+AA5+AU5</f>
        <v>382758.6</v>
      </c>
      <c r="AR5" s="15">
        <f aca="true" t="shared" si="14" ref="AR5:AR37">AQ5-AP5</f>
        <v>8807.79999999993</v>
      </c>
      <c r="AS5" s="16">
        <f aca="true" t="shared" si="15" ref="AS5:AS11">AQ5/AP5%</f>
        <v>102.35533658438489</v>
      </c>
      <c r="AT5" s="12">
        <f>AT6+AT7+AT8+AT12+AT21+AT24+AT31+AT33+AT35+AT38+AT39</f>
        <v>138093.30000000002</v>
      </c>
      <c r="AU5" s="12">
        <f>AU6+AU7+AU8+AU12+AU21+AU24+AU31+AU33+AU35+AU38+AU39</f>
        <v>132692.99999999997</v>
      </c>
      <c r="AV5" s="496">
        <f>AU5-AT5</f>
        <v>-5400.300000000047</v>
      </c>
      <c r="AW5" s="17">
        <f>AU5/AT5%</f>
        <v>96.08938304754825</v>
      </c>
      <c r="AX5" s="13">
        <f>AX6+AX7+AX8+AX12+AX21+AX24+AX31+AX33+AX35+AX38+AX39</f>
        <v>40200.6</v>
      </c>
      <c r="AY5" s="13">
        <f>AY6+AY7+AY8+AY12+AY21+AY24+AY31+AY33+AY35+AY38+AY39</f>
        <v>49558.299999999996</v>
      </c>
      <c r="AZ5" s="7">
        <f>AY5-AX5</f>
        <v>9357.699999999997</v>
      </c>
      <c r="BA5" s="19">
        <f>AY5/AX5%</f>
        <v>123.2775132709462</v>
      </c>
      <c r="BB5" s="6">
        <f>BB6+BB7+BB8+BB12+BB21+BB24+BB31+BB33+BB35+BB38+BB39</f>
        <v>55274.90000000001</v>
      </c>
      <c r="BC5" s="6">
        <f>BC6+BC7+BC8+BC12+BC21+BC24+BC31+BC33+BC35+BC38+BC39</f>
        <v>40769.899999999994</v>
      </c>
      <c r="BD5" s="7">
        <f aca="true" t="shared" si="16" ref="BD5:BD22">BC5-BB5</f>
        <v>-14505.000000000015</v>
      </c>
      <c r="BE5" s="18">
        <f aca="true" t="shared" si="17" ref="BE5:BE11">BC5/BB5%</f>
        <v>73.75843285107705</v>
      </c>
      <c r="BF5" s="13">
        <f>BF6+BF7+BF8+BF12+BF21+BF24+BF31+BF33+BF35+BF38+BF39</f>
        <v>42617.8</v>
      </c>
      <c r="BG5" s="13">
        <f>BG6+BG7+BG8+BG12+BG21+BG24+BG31+BG33+BG35+BG38+BG39</f>
        <v>42364.799999999996</v>
      </c>
      <c r="BH5" s="7">
        <f aca="true" t="shared" si="18" ref="BH5:BH22">BG5-BF5</f>
        <v>-253.00000000000728</v>
      </c>
      <c r="BI5" s="18">
        <f>BG5/BF5%</f>
        <v>99.40635133676537</v>
      </c>
      <c r="BJ5" s="12">
        <f>BJ6+BJ7+BJ8+BJ12+BJ21+BJ24+BJ31+BJ33+BJ35+BJ38+BJ39</f>
        <v>132681.2</v>
      </c>
      <c r="BK5" s="12">
        <f>BK6+BK7+BK8+BK12+BK21+BK24+BK31+BK33+BK35+BK38+BK39</f>
        <v>0</v>
      </c>
      <c r="BL5" s="12">
        <f>SUM(BL8,BL6,BL12,BL24,BL31,BL38,BL35)</f>
        <v>-124629.2</v>
      </c>
      <c r="BM5" s="497">
        <f>BK5/BJ5%</f>
        <v>0</v>
      </c>
      <c r="BN5" s="13">
        <f>BN6+BN7+BN8+BN12+BN21+BN24+BN31+BN33+BN35+BN38+BN39</f>
        <v>43965.4</v>
      </c>
      <c r="BO5" s="13">
        <f>BO6+BO7+BO8+BO12+BO21+BO24+BO31+BO33+BO35+BO38+BO39</f>
        <v>0</v>
      </c>
      <c r="BP5" s="7">
        <f aca="true" t="shared" si="19" ref="BP5:BP21">BO5-BN5</f>
        <v>-43965.4</v>
      </c>
      <c r="BQ5" s="232">
        <f>BO5/BN5%</f>
        <v>0</v>
      </c>
      <c r="BR5" s="7">
        <f>BR6+BR7+BR8+BR12+BR21+BR24+BR31+BR33+BR35+BR38+BR39</f>
        <v>38773.3</v>
      </c>
      <c r="BS5" s="7">
        <f>BS6+BS7+BS8+BS12+BS21+BS24+BS31+BS33+BS35+BS38+BS39</f>
        <v>0</v>
      </c>
      <c r="BT5" s="7">
        <f aca="true" t="shared" si="20" ref="BT5:BT21">BS5-BR5</f>
        <v>-38773.3</v>
      </c>
      <c r="BU5" s="7">
        <f aca="true" t="shared" si="21" ref="BU5:BU12">BS5/BR5%</f>
        <v>0</v>
      </c>
      <c r="BV5" s="13">
        <f>BV6+BV7+BV8+BV12+BV21+BV24+BV31+BV33+BV35+BV38+BV39</f>
        <v>49942.5</v>
      </c>
      <c r="BW5" s="13">
        <f>BW6+BW7+BW8+BW12+BW21+BW24+BW31+BW33+BW35+BW38+BW39</f>
        <v>0</v>
      </c>
      <c r="BX5" s="7">
        <f aca="true" t="shared" si="22" ref="BX5:BX21">BW5-BV5</f>
        <v>-49942.5</v>
      </c>
      <c r="BY5" s="7">
        <f aca="true" t="shared" si="23" ref="BY5:BY20">BW5/BV5%</f>
        <v>0</v>
      </c>
      <c r="BZ5" s="21" t="s">
        <v>106</v>
      </c>
    </row>
    <row r="6" spans="1:77" s="21" customFormat="1" ht="18.75">
      <c r="A6" s="5" t="s">
        <v>21</v>
      </c>
      <c r="B6" s="22">
        <f aca="true" t="shared" si="24" ref="B6:C15">J6+Z6+AT6+BJ6</f>
        <v>377761.2</v>
      </c>
      <c r="C6" s="222">
        <f t="shared" si="24"/>
        <v>275023.5</v>
      </c>
      <c r="D6" s="8">
        <f t="shared" si="0"/>
        <v>-102737.70000000001</v>
      </c>
      <c r="E6" s="20">
        <f t="shared" si="1"/>
        <v>72.80353302562571</v>
      </c>
      <c r="F6" s="9">
        <f t="shared" si="2"/>
        <v>175082.3</v>
      </c>
      <c r="G6" s="10">
        <f t="shared" si="2"/>
        <v>177852.2</v>
      </c>
      <c r="H6" s="10">
        <f t="shared" si="3"/>
        <v>2769.9000000000233</v>
      </c>
      <c r="I6" s="11">
        <f t="shared" si="4"/>
        <v>101.58205598167264</v>
      </c>
      <c r="J6" s="24">
        <f>N6+R6+V6</f>
        <v>79869.4</v>
      </c>
      <c r="K6" s="496">
        <f>SUM(O6+S6+W6)</f>
        <v>79976.5</v>
      </c>
      <c r="L6" s="496">
        <f t="shared" si="5"/>
        <v>107.10000000000582</v>
      </c>
      <c r="M6" s="497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337">
        <f>27866.5+5000</f>
        <v>32866.5</v>
      </c>
      <c r="S6" s="23">
        <v>33531.7</v>
      </c>
      <c r="T6" s="7">
        <f aca="true" t="shared" si="25" ref="T6:T38">S6-R6</f>
        <v>665.1999999999971</v>
      </c>
      <c r="U6" s="7">
        <f>S6/R6%</f>
        <v>102.02394535469246</v>
      </c>
      <c r="V6" s="337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496">
        <f>AD6+AH6+AL6</f>
        <v>95212.9</v>
      </c>
      <c r="AA6" s="496">
        <f aca="true" t="shared" si="26" ref="AA6:AA39">SUM(AE6+AI6+AM6)</f>
        <v>97875.7</v>
      </c>
      <c r="AB6" s="496">
        <f aca="true" t="shared" si="27" ref="AB6:AB39">AA6-Z6</f>
        <v>2662.800000000003</v>
      </c>
      <c r="AC6" s="496">
        <f>AA6/Z6%</f>
        <v>102.79667986165741</v>
      </c>
      <c r="AD6" s="23">
        <v>30091.1</v>
      </c>
      <c r="AE6" s="23">
        <v>29962.2</v>
      </c>
      <c r="AF6" s="7">
        <f aca="true" t="shared" si="28" ref="AF6:AF38">AE6-AD6</f>
        <v>-128.89999999999782</v>
      </c>
      <c r="AG6" s="7">
        <f aca="true" t="shared" si="29" ref="AG6:AG12">AE6/AD6%</f>
        <v>99.57163413766861</v>
      </c>
      <c r="AH6" s="23">
        <v>29489.9</v>
      </c>
      <c r="AI6" s="23">
        <v>31907.8</v>
      </c>
      <c r="AJ6" s="7">
        <f t="shared" si="11"/>
        <v>2417.899999999998</v>
      </c>
      <c r="AK6" s="7">
        <f>AI6/AH6%</f>
        <v>108.19907832851247</v>
      </c>
      <c r="AL6" s="222">
        <v>35631.9</v>
      </c>
      <c r="AM6" s="23">
        <v>36005.7</v>
      </c>
      <c r="AN6" s="7">
        <f t="shared" si="12"/>
        <v>373.79999999999563</v>
      </c>
      <c r="AO6" s="7">
        <f t="shared" si="13"/>
        <v>101.04905997154233</v>
      </c>
      <c r="AP6" s="14">
        <f>J6+Z6+AT6</f>
        <v>272077</v>
      </c>
      <c r="AQ6" s="15">
        <f aca="true" t="shared" si="30" ref="AQ6:AQ23">K6+AA6+AU6</f>
        <v>275023.5</v>
      </c>
      <c r="AR6" s="15">
        <f t="shared" si="14"/>
        <v>2946.5</v>
      </c>
      <c r="AS6" s="16">
        <f t="shared" si="15"/>
        <v>101.08296548403577</v>
      </c>
      <c r="AT6" s="24">
        <f aca="true" t="shared" si="31" ref="AT6:AT17">AX6+BB6+BF6</f>
        <v>96994.70000000001</v>
      </c>
      <c r="AU6" s="496">
        <f>SUM(AY6+BC6+BG6)</f>
        <v>97171.29999999999</v>
      </c>
      <c r="AV6" s="496">
        <f>AU6-AT6</f>
        <v>176.59999999997672</v>
      </c>
      <c r="AW6" s="17">
        <f>AU6/AT6%</f>
        <v>100.18207180392328</v>
      </c>
      <c r="AX6" s="22">
        <v>30156.7</v>
      </c>
      <c r="AY6" s="23">
        <v>31552</v>
      </c>
      <c r="AZ6" s="7">
        <f>AY6-AX6</f>
        <v>1395.2999999999993</v>
      </c>
      <c r="BA6" s="19">
        <f>AY6/AX6%</f>
        <v>104.62683251151485</v>
      </c>
      <c r="BB6" s="367">
        <v>31906.4</v>
      </c>
      <c r="BC6" s="23">
        <f>31712.8+662.9</f>
        <v>32375.7</v>
      </c>
      <c r="BD6" s="7">
        <f t="shared" si="16"/>
        <v>469.2999999999993</v>
      </c>
      <c r="BE6" s="18">
        <f t="shared" si="17"/>
        <v>101.47086477947997</v>
      </c>
      <c r="BF6" s="25">
        <v>34931.6</v>
      </c>
      <c r="BG6" s="23">
        <v>33243.6</v>
      </c>
      <c r="BH6" s="7">
        <f t="shared" si="18"/>
        <v>-1688</v>
      </c>
      <c r="BI6" s="18">
        <f>BG6/BF6%</f>
        <v>95.16769916064538</v>
      </c>
      <c r="BJ6" s="12">
        <f aca="true" t="shared" si="32" ref="BJ6:BJ39">BN6+BR6+BV6</f>
        <v>105684.2</v>
      </c>
      <c r="BK6" s="12">
        <f aca="true" t="shared" si="33" ref="BK6:BK39">SUM(BO6+BS6+BW6)</f>
        <v>0</v>
      </c>
      <c r="BL6" s="496">
        <f aca="true" t="shared" si="34" ref="BL6:BL35">BK6-BJ6</f>
        <v>-105684.2</v>
      </c>
      <c r="BM6" s="497">
        <f aca="true" t="shared" si="35" ref="BM6:BM11">BK6/BJ6%</f>
        <v>0</v>
      </c>
      <c r="BN6" s="22">
        <v>33486.4</v>
      </c>
      <c r="BO6" s="23"/>
      <c r="BP6" s="7">
        <f t="shared" si="19"/>
        <v>-33486.4</v>
      </c>
      <c r="BQ6" s="19">
        <f aca="true" t="shared" si="36" ref="BQ6:BQ12">BO6/BN6%</f>
        <v>0</v>
      </c>
      <c r="BR6" s="23">
        <v>31387.8</v>
      </c>
      <c r="BS6" s="23"/>
      <c r="BT6" s="7">
        <f t="shared" si="20"/>
        <v>-31387.8</v>
      </c>
      <c r="BU6" s="7">
        <f t="shared" si="21"/>
        <v>0</v>
      </c>
      <c r="BV6" s="333">
        <f>51810-5000-6000</f>
        <v>40810</v>
      </c>
      <c r="BW6" s="23"/>
      <c r="BX6" s="7">
        <f t="shared" si="22"/>
        <v>-40810</v>
      </c>
      <c r="BY6" s="7">
        <f t="shared" si="23"/>
        <v>0</v>
      </c>
    </row>
    <row r="7" spans="1:77" s="21" customFormat="1" ht="18.75">
      <c r="A7" s="5" t="s">
        <v>22</v>
      </c>
      <c r="B7" s="22">
        <f t="shared" si="24"/>
        <v>33875.200000000004</v>
      </c>
      <c r="C7" s="23">
        <f t="shared" si="24"/>
        <v>25021.600000000002</v>
      </c>
      <c r="D7" s="8">
        <f>C7-B7</f>
        <v>-8853.600000000002</v>
      </c>
      <c r="E7" s="20">
        <f>C7/B7%</f>
        <v>73.86406574721329</v>
      </c>
      <c r="F7" s="9">
        <f>J7+Z7</f>
        <v>13708.6</v>
      </c>
      <c r="G7" s="10">
        <f>K7+AA7</f>
        <v>15933.900000000001</v>
      </c>
      <c r="H7" s="10">
        <f>G7-F7</f>
        <v>2225.300000000001</v>
      </c>
      <c r="I7" s="11">
        <f>G7/F7%</f>
        <v>116.23287571305603</v>
      </c>
      <c r="J7" s="24">
        <f>N7+R7+V7</f>
        <v>6648.9</v>
      </c>
      <c r="K7" s="496">
        <f>O7+S7+W7</f>
        <v>8151.7</v>
      </c>
      <c r="L7" s="496">
        <f>K7-J7</f>
        <v>1502.8000000000002</v>
      </c>
      <c r="M7" s="497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496">
        <f>AD7+AH7+AL7</f>
        <v>7059.700000000001</v>
      </c>
      <c r="AA7" s="496">
        <f>SUM(AE7+AI7+AM7)</f>
        <v>7782.200000000001</v>
      </c>
      <c r="AB7" s="496">
        <f>AA7-Z7</f>
        <v>722.5</v>
      </c>
      <c r="AC7" s="496">
        <f>AA7/Z7%</f>
        <v>110.23414592688074</v>
      </c>
      <c r="AD7" s="23">
        <v>2333.6</v>
      </c>
      <c r="AE7" s="23">
        <v>2578.1</v>
      </c>
      <c r="AF7" s="7">
        <f>AE7-AD7</f>
        <v>244.5</v>
      </c>
      <c r="AG7" s="7">
        <f t="shared" si="29"/>
        <v>110.47737401439836</v>
      </c>
      <c r="AH7" s="23">
        <v>2390</v>
      </c>
      <c r="AI7" s="23">
        <v>2729</v>
      </c>
      <c r="AJ7" s="7">
        <f>AI7-AH7</f>
        <v>339</v>
      </c>
      <c r="AK7" s="7">
        <f>AI7/AH7%</f>
        <v>114.18410041841005</v>
      </c>
      <c r="AL7" s="23">
        <v>2336.1</v>
      </c>
      <c r="AM7" s="23">
        <v>2475.1</v>
      </c>
      <c r="AN7" s="7">
        <f>AM7-AL7</f>
        <v>139</v>
      </c>
      <c r="AO7" s="7">
        <f>AM7/AL7%</f>
        <v>105.95008775309276</v>
      </c>
      <c r="AP7" s="14">
        <f>J7+Z7+AT7</f>
        <v>25823.200000000004</v>
      </c>
      <c r="AQ7" s="15">
        <f>K7+AA7+AU7</f>
        <v>25021.600000000002</v>
      </c>
      <c r="AR7" s="15">
        <f>AQ7-AP7</f>
        <v>-801.6000000000022</v>
      </c>
      <c r="AS7" s="16">
        <f>AQ7/AP7%</f>
        <v>96.89581461631401</v>
      </c>
      <c r="AT7" s="24">
        <f t="shared" si="31"/>
        <v>12114.600000000002</v>
      </c>
      <c r="AU7" s="496">
        <f>SUM(AY7+BC7+BG7)</f>
        <v>9087.7</v>
      </c>
      <c r="AV7" s="496">
        <f>AU7-AT7</f>
        <v>-3026.9000000000015</v>
      </c>
      <c r="AW7" s="497">
        <f>AU7/AT7%</f>
        <v>75.01444537995476</v>
      </c>
      <c r="AX7" s="22">
        <v>2838.6</v>
      </c>
      <c r="AY7" s="25">
        <v>2901.8</v>
      </c>
      <c r="AZ7" s="7">
        <f>AY7-AX7</f>
        <v>63.20000000000027</v>
      </c>
      <c r="BA7" s="19">
        <f>AY7/AX7%</f>
        <v>102.22644965828226</v>
      </c>
      <c r="BB7" s="367">
        <f>2699.4+3684.8</f>
        <v>6384.200000000001</v>
      </c>
      <c r="BC7" s="25">
        <v>2971.9</v>
      </c>
      <c r="BD7" s="7">
        <f>BC7-BB7</f>
        <v>-3412.3000000000006</v>
      </c>
      <c r="BE7" s="18">
        <f>BC7/BB7%</f>
        <v>46.55085993546568</v>
      </c>
      <c r="BF7" s="25">
        <v>2891.8</v>
      </c>
      <c r="BG7" s="23">
        <v>3214</v>
      </c>
      <c r="BH7" s="7">
        <f>BG7-BF7</f>
        <v>322.1999999999998</v>
      </c>
      <c r="BI7" s="18">
        <f>BG7/BF7%</f>
        <v>111.14184936717614</v>
      </c>
      <c r="BJ7" s="26">
        <f>BN7+BR7+BV7</f>
        <v>8052</v>
      </c>
      <c r="BK7" s="496">
        <f>SUM(BO7+BS7+BW7)</f>
        <v>0</v>
      </c>
      <c r="BL7" s="496">
        <f>BK7-BJ7</f>
        <v>-8052</v>
      </c>
      <c r="BM7" s="497">
        <f>BK7/BJ7%</f>
        <v>0</v>
      </c>
      <c r="BN7" s="25">
        <v>2684.9</v>
      </c>
      <c r="BO7" s="23"/>
      <c r="BP7" s="7">
        <f>BO7-BN7</f>
        <v>-2684.9</v>
      </c>
      <c r="BQ7" s="19">
        <f>BO7/BN7%</f>
        <v>0</v>
      </c>
      <c r="BR7" s="23">
        <v>2645.2</v>
      </c>
      <c r="BS7" s="23"/>
      <c r="BT7" s="7">
        <f>BS7-BR7</f>
        <v>-2645.2</v>
      </c>
      <c r="BU7" s="7">
        <f t="shared" si="21"/>
        <v>0</v>
      </c>
      <c r="BV7" s="25">
        <v>2721.9</v>
      </c>
      <c r="BW7" s="23"/>
      <c r="BX7" s="7">
        <f>BW7-BV7</f>
        <v>-2721.9</v>
      </c>
      <c r="BY7" s="7">
        <f>BW7/BV7%</f>
        <v>0</v>
      </c>
    </row>
    <row r="8" spans="1:77" s="21" customFormat="1" ht="18.75">
      <c r="A8" s="5" t="s">
        <v>23</v>
      </c>
      <c r="B8" s="22">
        <f t="shared" si="24"/>
        <v>28727.600000000002</v>
      </c>
      <c r="C8" s="23">
        <f t="shared" si="24"/>
        <v>26386.1</v>
      </c>
      <c r="D8" s="8">
        <f t="shared" si="0"/>
        <v>-2341.5000000000036</v>
      </c>
      <c r="E8" s="20">
        <f t="shared" si="1"/>
        <v>91.84930171681587</v>
      </c>
      <c r="F8" s="9">
        <f t="shared" si="2"/>
        <v>16616.3</v>
      </c>
      <c r="G8" s="10">
        <f t="shared" si="2"/>
        <v>16895.1</v>
      </c>
      <c r="H8" s="10">
        <f t="shared" si="3"/>
        <v>278.7999999999993</v>
      </c>
      <c r="I8" s="11">
        <f t="shared" si="4"/>
        <v>101.67787052472572</v>
      </c>
      <c r="J8" s="27">
        <f>SUM(J9:J11)</f>
        <v>8550</v>
      </c>
      <c r="K8" s="496">
        <f>SUM(K9:K11)</f>
        <v>8086.9</v>
      </c>
      <c r="L8" s="496">
        <f t="shared" si="5"/>
        <v>-463.10000000000036</v>
      </c>
      <c r="M8" s="497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5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496">
        <f aca="true" t="shared" si="37" ref="Z8:Z39">AD8+AH8+AL8</f>
        <v>8066.3</v>
      </c>
      <c r="AA8" s="496">
        <f t="shared" si="26"/>
        <v>8808.2</v>
      </c>
      <c r="AB8" s="496">
        <f t="shared" si="27"/>
        <v>741.9000000000005</v>
      </c>
      <c r="AC8" s="496">
        <f>AA8/Z8%</f>
        <v>109.19752550735778</v>
      </c>
      <c r="AD8" s="23">
        <f aca="true" t="shared" si="38" ref="AD8:AM8">SUM(AD9:AD11)</f>
        <v>5665.4</v>
      </c>
      <c r="AE8" s="23">
        <f t="shared" si="38"/>
        <v>7529.6</v>
      </c>
      <c r="AF8" s="23">
        <f t="shared" si="38"/>
        <v>1864.2000000000003</v>
      </c>
      <c r="AG8" s="7">
        <f t="shared" si="29"/>
        <v>132.90500229463058</v>
      </c>
      <c r="AH8" s="23">
        <f t="shared" si="38"/>
        <v>935.8</v>
      </c>
      <c r="AI8" s="23">
        <f t="shared" si="38"/>
        <v>452.9</v>
      </c>
      <c r="AJ8" s="23">
        <f t="shared" si="38"/>
        <v>-482.9</v>
      </c>
      <c r="AK8" s="7">
        <f aca="true" t="shared" si="39" ref="AK8:AK36">AI8/AH8%</f>
        <v>48.39709339602479</v>
      </c>
      <c r="AL8" s="23">
        <f t="shared" si="38"/>
        <v>1465.1000000000001</v>
      </c>
      <c r="AM8" s="23">
        <f t="shared" si="38"/>
        <v>825.7</v>
      </c>
      <c r="AN8" s="7">
        <f t="shared" si="12"/>
        <v>-639.4000000000001</v>
      </c>
      <c r="AO8" s="7">
        <f t="shared" si="13"/>
        <v>56.35792778649921</v>
      </c>
      <c r="AP8" s="14">
        <f>J8+Z8+AT8</f>
        <v>23828.9</v>
      </c>
      <c r="AQ8" s="15">
        <f t="shared" si="30"/>
        <v>26386.1</v>
      </c>
      <c r="AR8" s="15">
        <f t="shared" si="14"/>
        <v>2557.199999999997</v>
      </c>
      <c r="AS8" s="16">
        <f t="shared" si="15"/>
        <v>110.73150669984766</v>
      </c>
      <c r="AT8" s="24">
        <f t="shared" si="31"/>
        <v>7212.6</v>
      </c>
      <c r="AU8" s="24">
        <f>AY8+BC8+BG8</f>
        <v>9491</v>
      </c>
      <c r="AV8" s="496">
        <f aca="true" t="shared" si="40" ref="AV8:AV39">AU8-AT8</f>
        <v>2278.3999999999996</v>
      </c>
      <c r="AW8" s="497" t="s">
        <v>27</v>
      </c>
      <c r="AX8" s="22">
        <f>AX9+AX10+AX11</f>
        <v>3126.4</v>
      </c>
      <c r="AY8" s="25">
        <f>SUM(AY9:AY11)</f>
        <v>7711</v>
      </c>
      <c r="AZ8" s="25">
        <f>SUM(AZ9:AZ11)</f>
        <v>4584.599999999999</v>
      </c>
      <c r="BA8" s="19" t="s">
        <v>27</v>
      </c>
      <c r="BB8" s="22">
        <f>SUM(BB9:BB11)</f>
        <v>3621.4</v>
      </c>
      <c r="BC8" s="25">
        <f>SUM(BC9:BC11)</f>
        <v>1066</v>
      </c>
      <c r="BD8" s="25">
        <f>SUM(BD9:BD11)</f>
        <v>-2555.4000000000005</v>
      </c>
      <c r="BE8" s="18">
        <f t="shared" si="17"/>
        <v>29.436129673606892</v>
      </c>
      <c r="BF8" s="25">
        <f>SUM(BF9:BF11)</f>
        <v>464.8</v>
      </c>
      <c r="BG8" s="25">
        <f>SUM(BG9:BG11)</f>
        <v>714</v>
      </c>
      <c r="BH8" s="7">
        <f t="shared" si="18"/>
        <v>249.2</v>
      </c>
      <c r="BI8" s="18">
        <f>BG8/BF8%</f>
        <v>153.61445783132532</v>
      </c>
      <c r="BJ8" s="26">
        <f t="shared" si="32"/>
        <v>4898.7</v>
      </c>
      <c r="BK8" s="496">
        <f t="shared" si="33"/>
        <v>0</v>
      </c>
      <c r="BL8" s="496">
        <f t="shared" si="34"/>
        <v>-4898.7</v>
      </c>
      <c r="BM8" s="497">
        <f t="shared" si="35"/>
        <v>0</v>
      </c>
      <c r="BN8" s="25">
        <f>SUM(BN9:BN11)</f>
        <v>3624.4</v>
      </c>
      <c r="BO8" s="25">
        <f>SUM(BO9:BO11)</f>
        <v>0</v>
      </c>
      <c r="BP8" s="7">
        <f t="shared" si="19"/>
        <v>-3624.4</v>
      </c>
      <c r="BQ8" s="44">
        <f t="shared" si="36"/>
        <v>0</v>
      </c>
      <c r="BR8" s="23">
        <f>SUM(BR9:BR11)</f>
        <v>664.3000000000001</v>
      </c>
      <c r="BS8" s="23">
        <f>SUM(BS9:BS11)</f>
        <v>0</v>
      </c>
      <c r="BT8" s="7">
        <f t="shared" si="20"/>
        <v>-664.3000000000001</v>
      </c>
      <c r="BU8" s="7">
        <f t="shared" si="21"/>
        <v>0</v>
      </c>
      <c r="BV8" s="25">
        <f>SUM(BV9:BV11)</f>
        <v>610</v>
      </c>
      <c r="BW8" s="23">
        <f>SUM(BW9:BW11)</f>
        <v>0</v>
      </c>
      <c r="BX8" s="7">
        <f t="shared" si="22"/>
        <v>-610</v>
      </c>
      <c r="BY8" s="7">
        <f t="shared" si="23"/>
        <v>0</v>
      </c>
    </row>
    <row r="9" spans="1:77" ht="40.5" customHeight="1">
      <c r="A9" s="46" t="s">
        <v>25</v>
      </c>
      <c r="B9" s="30">
        <f t="shared" si="24"/>
        <v>18899.9</v>
      </c>
      <c r="C9" s="31">
        <f t="shared" si="24"/>
        <v>16113.8</v>
      </c>
      <c r="D9" s="33">
        <f t="shared" si="0"/>
        <v>-2786.100000000002</v>
      </c>
      <c r="E9" s="219">
        <f t="shared" si="1"/>
        <v>85.25865216218074</v>
      </c>
      <c r="F9" s="34">
        <f t="shared" si="2"/>
        <v>11250.400000000001</v>
      </c>
      <c r="G9" s="35">
        <f t="shared" si="2"/>
        <v>9353.3</v>
      </c>
      <c r="H9" s="35">
        <f t="shared" si="3"/>
        <v>-1897.1000000000022</v>
      </c>
      <c r="I9" s="36">
        <f t="shared" si="4"/>
        <v>83.13748844485528</v>
      </c>
      <c r="J9" s="37">
        <f aca="true" t="shared" si="41" ref="J9:J39">N9+R9+V9</f>
        <v>5312.3</v>
      </c>
      <c r="K9" s="38">
        <f aca="true" t="shared" si="42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5"/>
        <v>-141.6</v>
      </c>
      <c r="U9" s="7">
        <f aca="true" t="shared" si="43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7"/>
        <v>5938.1</v>
      </c>
      <c r="AA9" s="38">
        <f t="shared" si="26"/>
        <v>5235.900000000001</v>
      </c>
      <c r="AB9" s="38">
        <f t="shared" si="27"/>
        <v>-702.1999999999998</v>
      </c>
      <c r="AC9" s="38">
        <f>AA9/Z9%</f>
        <v>88.17466866506122</v>
      </c>
      <c r="AD9" s="31">
        <v>4869.7</v>
      </c>
      <c r="AE9" s="31">
        <v>4487.6</v>
      </c>
      <c r="AF9" s="32">
        <f t="shared" si="28"/>
        <v>-382.09999999999945</v>
      </c>
      <c r="AG9" s="32">
        <f t="shared" si="29"/>
        <v>92.15352075076495</v>
      </c>
      <c r="AH9" s="31">
        <v>575.8</v>
      </c>
      <c r="AI9" s="31">
        <v>265.2</v>
      </c>
      <c r="AJ9" s="32">
        <f t="shared" si="11"/>
        <v>-310.59999999999997</v>
      </c>
      <c r="AK9" s="32">
        <f t="shared" si="39"/>
        <v>46.05765890934353</v>
      </c>
      <c r="AL9" s="31">
        <v>492.6</v>
      </c>
      <c r="AM9" s="31">
        <v>483.1</v>
      </c>
      <c r="AN9" s="32">
        <f t="shared" si="12"/>
        <v>-9.5</v>
      </c>
      <c r="AO9" s="32">
        <f t="shared" si="13"/>
        <v>98.07145757206659</v>
      </c>
      <c r="AP9" s="40">
        <f aca="true" t="shared" si="44" ref="AP9:AQ32">J9+Z9+AT9</f>
        <v>14779.100000000002</v>
      </c>
      <c r="AQ9" s="41">
        <f t="shared" si="30"/>
        <v>16113.8</v>
      </c>
      <c r="AR9" s="41">
        <f t="shared" si="14"/>
        <v>1334.699999999997</v>
      </c>
      <c r="AS9" s="42">
        <f t="shared" si="15"/>
        <v>109.03099647475149</v>
      </c>
      <c r="AT9" s="37">
        <f t="shared" si="31"/>
        <v>3528.7</v>
      </c>
      <c r="AU9" s="38">
        <f aca="true" t="shared" si="45" ref="AU9:AU20">SUM(AY9+BC9+BG9)</f>
        <v>6760.499999999999</v>
      </c>
      <c r="AV9" s="38">
        <f t="shared" si="40"/>
        <v>3231.7999999999993</v>
      </c>
      <c r="AW9" s="43" t="s">
        <v>27</v>
      </c>
      <c r="AX9" s="30">
        <v>2815.5</v>
      </c>
      <c r="AY9" s="31">
        <v>5421.4</v>
      </c>
      <c r="AZ9" s="32">
        <f aca="true" t="shared" si="46" ref="AZ9:AZ38">AY9-AX9</f>
        <v>2605.8999999999996</v>
      </c>
      <c r="BA9" s="44" t="s">
        <v>27</v>
      </c>
      <c r="BB9" s="30">
        <v>286.6</v>
      </c>
      <c r="BC9" s="31">
        <f>833+15.9</f>
        <v>848.9</v>
      </c>
      <c r="BD9" s="32">
        <f t="shared" si="16"/>
        <v>562.3</v>
      </c>
      <c r="BE9" s="28">
        <f t="shared" si="17"/>
        <v>296.1967899511514</v>
      </c>
      <c r="BF9" s="39">
        <v>426.6</v>
      </c>
      <c r="BG9" s="31">
        <v>490.2</v>
      </c>
      <c r="BH9" s="32">
        <f t="shared" si="18"/>
        <v>63.599999999999966</v>
      </c>
      <c r="BI9" s="28">
        <f>BG9/BF9%</f>
        <v>114.9085794655415</v>
      </c>
      <c r="BJ9" s="45">
        <f t="shared" si="32"/>
        <v>4120.799999999999</v>
      </c>
      <c r="BK9" s="38">
        <f t="shared" si="33"/>
        <v>0</v>
      </c>
      <c r="BL9" s="38">
        <f t="shared" si="34"/>
        <v>-4120.799999999999</v>
      </c>
      <c r="BM9" s="43">
        <f t="shared" si="35"/>
        <v>0</v>
      </c>
      <c r="BN9" s="30">
        <v>3429.2</v>
      </c>
      <c r="BO9" s="31"/>
      <c r="BP9" s="7">
        <f t="shared" si="19"/>
        <v>-3429.2</v>
      </c>
      <c r="BQ9" s="44">
        <f t="shared" si="36"/>
        <v>0</v>
      </c>
      <c r="BR9" s="31">
        <v>275.6</v>
      </c>
      <c r="BS9" s="31"/>
      <c r="BT9" s="32">
        <f t="shared" si="20"/>
        <v>-275.6</v>
      </c>
      <c r="BU9" s="32">
        <f t="shared" si="21"/>
        <v>0</v>
      </c>
      <c r="BV9" s="39">
        <v>416</v>
      </c>
      <c r="BW9" s="31"/>
      <c r="BX9" s="32">
        <f t="shared" si="22"/>
        <v>-416</v>
      </c>
      <c r="BY9" s="32">
        <f t="shared" si="23"/>
        <v>0</v>
      </c>
    </row>
    <row r="10" spans="1:77" ht="24.75" customHeight="1">
      <c r="A10" s="48" t="s">
        <v>26</v>
      </c>
      <c r="B10" s="30">
        <f t="shared" si="24"/>
        <v>8127.700000000001</v>
      </c>
      <c r="C10" s="31">
        <f t="shared" si="24"/>
        <v>8331.5</v>
      </c>
      <c r="D10" s="33">
        <f t="shared" si="0"/>
        <v>203.79999999999927</v>
      </c>
      <c r="E10" s="219">
        <f t="shared" si="1"/>
        <v>102.50747443926326</v>
      </c>
      <c r="F10" s="34">
        <f t="shared" si="2"/>
        <v>4332.200000000001</v>
      </c>
      <c r="G10" s="35">
        <f t="shared" si="2"/>
        <v>5934.4</v>
      </c>
      <c r="H10" s="35">
        <f t="shared" si="3"/>
        <v>1602.199999999999</v>
      </c>
      <c r="I10" s="36">
        <f t="shared" si="4"/>
        <v>136.98351876644656</v>
      </c>
      <c r="J10" s="37">
        <f t="shared" si="41"/>
        <v>2464.8</v>
      </c>
      <c r="K10" s="38">
        <f t="shared" si="42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5"/>
        <v>871.3000000000001</v>
      </c>
      <c r="U10" s="7" t="s">
        <v>27</v>
      </c>
      <c r="V10" s="334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7"/>
        <v>1867.4</v>
      </c>
      <c r="AA10" s="38">
        <f t="shared" si="26"/>
        <v>3221.5</v>
      </c>
      <c r="AB10" s="38">
        <f t="shared" si="27"/>
        <v>1354.1</v>
      </c>
      <c r="AC10" s="38" t="s">
        <v>107</v>
      </c>
      <c r="AD10" s="334">
        <f>2117.5-1500</f>
        <v>617.5</v>
      </c>
      <c r="AE10" s="31">
        <v>2915.2</v>
      </c>
      <c r="AF10" s="32">
        <f t="shared" si="28"/>
        <v>2297.7</v>
      </c>
      <c r="AG10" s="32" t="s">
        <v>27</v>
      </c>
      <c r="AH10" s="31">
        <v>329.6</v>
      </c>
      <c r="AI10" s="31">
        <v>155.3</v>
      </c>
      <c r="AJ10" s="32">
        <f t="shared" si="11"/>
        <v>-174.3</v>
      </c>
      <c r="AK10" s="32">
        <f t="shared" si="39"/>
        <v>47.11771844660194</v>
      </c>
      <c r="AL10" s="31">
        <v>920.3</v>
      </c>
      <c r="AM10" s="31">
        <v>151</v>
      </c>
      <c r="AN10" s="32">
        <f t="shared" si="12"/>
        <v>-769.3</v>
      </c>
      <c r="AO10" s="32">
        <f t="shared" si="13"/>
        <v>16.40769314354015</v>
      </c>
      <c r="AP10" s="40">
        <f t="shared" si="44"/>
        <v>7934.000000000001</v>
      </c>
      <c r="AQ10" s="41">
        <f t="shared" si="30"/>
        <v>8331.5</v>
      </c>
      <c r="AR10" s="41">
        <f t="shared" si="14"/>
        <v>397.4999999999991</v>
      </c>
      <c r="AS10" s="42">
        <f t="shared" si="15"/>
        <v>105.01008318628686</v>
      </c>
      <c r="AT10" s="37">
        <f t="shared" si="31"/>
        <v>3601.8</v>
      </c>
      <c r="AU10" s="38">
        <f t="shared" si="45"/>
        <v>2397.1</v>
      </c>
      <c r="AV10" s="38">
        <f t="shared" si="40"/>
        <v>-1204.7000000000003</v>
      </c>
      <c r="AW10" s="43" t="s">
        <v>27</v>
      </c>
      <c r="AX10" s="30">
        <v>289.9</v>
      </c>
      <c r="AY10" s="31">
        <v>2227.8</v>
      </c>
      <c r="AZ10" s="32">
        <f t="shared" si="46"/>
        <v>1937.9</v>
      </c>
      <c r="BA10" s="44" t="s">
        <v>27</v>
      </c>
      <c r="BB10" s="30">
        <f>111.9+3200</f>
        <v>3311.9</v>
      </c>
      <c r="BC10" s="31">
        <v>152.2</v>
      </c>
      <c r="BD10" s="32">
        <f t="shared" si="16"/>
        <v>-3159.7000000000003</v>
      </c>
      <c r="BE10" s="28">
        <f t="shared" si="17"/>
        <v>4.595549382529666</v>
      </c>
      <c r="BF10" s="39"/>
      <c r="BG10" s="31">
        <v>17.1</v>
      </c>
      <c r="BH10" s="32">
        <f t="shared" si="18"/>
        <v>17.1</v>
      </c>
      <c r="BI10" s="28"/>
      <c r="BJ10" s="45">
        <f t="shared" si="32"/>
        <v>193.70000000000002</v>
      </c>
      <c r="BK10" s="38">
        <f t="shared" si="33"/>
        <v>0</v>
      </c>
      <c r="BL10" s="38">
        <f t="shared" si="34"/>
        <v>-193.70000000000002</v>
      </c>
      <c r="BM10" s="43" t="s">
        <v>27</v>
      </c>
      <c r="BN10" s="30">
        <v>162.8</v>
      </c>
      <c r="BO10" s="31"/>
      <c r="BP10" s="7">
        <f t="shared" si="19"/>
        <v>-162.8</v>
      </c>
      <c r="BQ10" s="44" t="s">
        <v>27</v>
      </c>
      <c r="BR10" s="31">
        <v>22.6</v>
      </c>
      <c r="BS10" s="31"/>
      <c r="BT10" s="7">
        <f t="shared" si="20"/>
        <v>-22.6</v>
      </c>
      <c r="BU10" s="32" t="s">
        <v>27</v>
      </c>
      <c r="BV10" s="39">
        <v>8.3</v>
      </c>
      <c r="BW10" s="31"/>
      <c r="BX10" s="32">
        <f t="shared" si="22"/>
        <v>-8.3</v>
      </c>
      <c r="BY10" s="32">
        <f t="shared" si="23"/>
        <v>0</v>
      </c>
    </row>
    <row r="11" spans="1:77" ht="39.75" customHeight="1">
      <c r="A11" s="29" t="s">
        <v>28</v>
      </c>
      <c r="B11" s="30">
        <f t="shared" si="24"/>
        <v>1700</v>
      </c>
      <c r="C11" s="31">
        <f t="shared" si="24"/>
        <v>1940.7999999999997</v>
      </c>
      <c r="D11" s="33">
        <f t="shared" si="0"/>
        <v>240.79999999999973</v>
      </c>
      <c r="E11" s="219">
        <f t="shared" si="1"/>
        <v>114.16470588235292</v>
      </c>
      <c r="F11" s="34">
        <f t="shared" si="2"/>
        <v>1033.7</v>
      </c>
      <c r="G11" s="35">
        <f t="shared" si="2"/>
        <v>1607.3999999999999</v>
      </c>
      <c r="H11" s="35">
        <f t="shared" si="3"/>
        <v>573.6999999999998</v>
      </c>
      <c r="I11" s="36">
        <f t="shared" si="4"/>
        <v>155.49966141046724</v>
      </c>
      <c r="J11" s="37">
        <f t="shared" si="41"/>
        <v>772.9</v>
      </c>
      <c r="K11" s="38">
        <f t="shared" si="42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5"/>
        <v>15.600000000000001</v>
      </c>
      <c r="U11" s="7">
        <f t="shared" si="43"/>
        <v>160</v>
      </c>
      <c r="V11" s="334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7"/>
        <v>260.8</v>
      </c>
      <c r="AA11" s="38">
        <f t="shared" si="26"/>
        <v>350.79999999999995</v>
      </c>
      <c r="AB11" s="38">
        <f t="shared" si="27"/>
        <v>89.99999999999994</v>
      </c>
      <c r="AC11" s="38">
        <f>AA11/Z11%</f>
        <v>134.5092024539877</v>
      </c>
      <c r="AD11" s="31">
        <v>178.2</v>
      </c>
      <c r="AE11" s="31">
        <v>126.8</v>
      </c>
      <c r="AF11" s="32">
        <f t="shared" si="28"/>
        <v>-51.39999999999999</v>
      </c>
      <c r="AG11" s="32" t="s">
        <v>27</v>
      </c>
      <c r="AH11" s="31">
        <v>30.4</v>
      </c>
      <c r="AI11" s="31">
        <v>32.4</v>
      </c>
      <c r="AJ11" s="32">
        <f t="shared" si="11"/>
        <v>2</v>
      </c>
      <c r="AK11" s="32">
        <f t="shared" si="39"/>
        <v>106.57894736842105</v>
      </c>
      <c r="AL11" s="31">
        <v>52.2</v>
      </c>
      <c r="AM11" s="31">
        <v>191.6</v>
      </c>
      <c r="AN11" s="32">
        <f t="shared" si="12"/>
        <v>139.39999999999998</v>
      </c>
      <c r="AO11" s="32">
        <f t="shared" si="13"/>
        <v>367.04980842911874</v>
      </c>
      <c r="AP11" s="40">
        <f t="shared" si="44"/>
        <v>1115.8</v>
      </c>
      <c r="AQ11" s="41">
        <f t="shared" si="30"/>
        <v>1940.7999999999997</v>
      </c>
      <c r="AR11" s="41">
        <f t="shared" si="14"/>
        <v>824.9999999999998</v>
      </c>
      <c r="AS11" s="42">
        <f t="shared" si="15"/>
        <v>173.9379817171536</v>
      </c>
      <c r="AT11" s="37">
        <f t="shared" si="31"/>
        <v>82.1</v>
      </c>
      <c r="AU11" s="38">
        <f t="shared" si="45"/>
        <v>333.4</v>
      </c>
      <c r="AV11" s="38">
        <f>AU11-AT11</f>
        <v>251.29999999999998</v>
      </c>
      <c r="AW11" s="43" t="s">
        <v>27</v>
      </c>
      <c r="AX11" s="30">
        <v>21</v>
      </c>
      <c r="AY11" s="31">
        <v>61.8</v>
      </c>
      <c r="AZ11" s="32">
        <f t="shared" si="46"/>
        <v>40.8</v>
      </c>
      <c r="BA11" s="44" t="s">
        <v>27</v>
      </c>
      <c r="BB11" s="30">
        <v>22.9</v>
      </c>
      <c r="BC11" s="31">
        <f>62.9+2</f>
        <v>64.9</v>
      </c>
      <c r="BD11" s="32">
        <f t="shared" si="16"/>
        <v>42.00000000000001</v>
      </c>
      <c r="BE11" s="28">
        <f t="shared" si="17"/>
        <v>283.40611353711796</v>
      </c>
      <c r="BF11" s="39">
        <v>38.2</v>
      </c>
      <c r="BG11" s="31">
        <v>206.7</v>
      </c>
      <c r="BH11" s="32">
        <f t="shared" si="18"/>
        <v>168.5</v>
      </c>
      <c r="BI11" s="28" t="s">
        <v>27</v>
      </c>
      <c r="BJ11" s="45">
        <f t="shared" si="32"/>
        <v>584.2</v>
      </c>
      <c r="BK11" s="38">
        <f t="shared" si="33"/>
        <v>0</v>
      </c>
      <c r="BL11" s="38">
        <f t="shared" si="34"/>
        <v>-584.2</v>
      </c>
      <c r="BM11" s="43">
        <f t="shared" si="35"/>
        <v>0</v>
      </c>
      <c r="BN11" s="30">
        <v>32.4</v>
      </c>
      <c r="BO11" s="31"/>
      <c r="BP11" s="7">
        <f t="shared" si="19"/>
        <v>-32.4</v>
      </c>
      <c r="BQ11" s="44">
        <f t="shared" si="36"/>
        <v>0</v>
      </c>
      <c r="BR11" s="31">
        <v>366.1</v>
      </c>
      <c r="BS11" s="31"/>
      <c r="BT11" s="32">
        <f t="shared" si="20"/>
        <v>-366.1</v>
      </c>
      <c r="BU11" s="32">
        <f t="shared" si="21"/>
        <v>0</v>
      </c>
      <c r="BV11" s="335">
        <f>685.7-500</f>
        <v>185.70000000000005</v>
      </c>
      <c r="BW11" s="31"/>
      <c r="BX11" s="32">
        <f t="shared" si="22"/>
        <v>-185.70000000000005</v>
      </c>
      <c r="BY11" s="32">
        <f t="shared" si="23"/>
        <v>0</v>
      </c>
    </row>
    <row r="12" spans="1:77" s="21" customFormat="1" ht="18.75">
      <c r="A12" s="5" t="s">
        <v>29</v>
      </c>
      <c r="B12" s="22">
        <f t="shared" si="24"/>
        <v>16165.3</v>
      </c>
      <c r="C12" s="23">
        <f t="shared" si="24"/>
        <v>12418.900000000001</v>
      </c>
      <c r="D12" s="8">
        <f t="shared" si="0"/>
        <v>-3746.399999999998</v>
      </c>
      <c r="E12" s="20">
        <f t="shared" si="1"/>
        <v>76.8244325808986</v>
      </c>
      <c r="F12" s="9">
        <f t="shared" si="2"/>
        <v>7898.5</v>
      </c>
      <c r="G12" s="10">
        <f t="shared" si="2"/>
        <v>8296</v>
      </c>
      <c r="H12" s="10">
        <f t="shared" si="3"/>
        <v>397.5</v>
      </c>
      <c r="I12" s="11">
        <f>G12/F12%</f>
        <v>105.03260112679622</v>
      </c>
      <c r="J12" s="24">
        <f t="shared" si="41"/>
        <v>3720.7999999999997</v>
      </c>
      <c r="K12" s="496">
        <f t="shared" si="42"/>
        <v>3839.8999999999996</v>
      </c>
      <c r="L12" s="496">
        <f t="shared" si="5"/>
        <v>119.09999999999991</v>
      </c>
      <c r="M12" s="497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5"/>
        <v>360.20000000000005</v>
      </c>
      <c r="U12" s="7">
        <f t="shared" si="43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496">
        <f t="shared" si="37"/>
        <v>4177.700000000001</v>
      </c>
      <c r="AA12" s="496">
        <f t="shared" si="26"/>
        <v>4456.099999999999</v>
      </c>
      <c r="AB12" s="496">
        <f t="shared" si="27"/>
        <v>278.3999999999987</v>
      </c>
      <c r="AC12" s="496">
        <f>AA12/Z12%</f>
        <v>106.66395385020462</v>
      </c>
      <c r="AD12" s="25">
        <f>AD13+AD20+AD14</f>
        <v>1244.9</v>
      </c>
      <c r="AE12" s="25">
        <f>AE13+AE20+AE14</f>
        <v>1809.8</v>
      </c>
      <c r="AF12" s="7">
        <f t="shared" si="28"/>
        <v>564.8999999999999</v>
      </c>
      <c r="AG12" s="7">
        <f t="shared" si="29"/>
        <v>145.37713872600207</v>
      </c>
      <c r="AH12" s="25">
        <f>AH13+AH20+AH14</f>
        <v>1636.9</v>
      </c>
      <c r="AI12" s="25">
        <f>AI13+AI20+AI14</f>
        <v>1101.1</v>
      </c>
      <c r="AJ12" s="7">
        <f t="shared" si="11"/>
        <v>-535.8000000000002</v>
      </c>
      <c r="AK12" s="7">
        <f t="shared" si="39"/>
        <v>67.26739568696927</v>
      </c>
      <c r="AL12" s="25">
        <f>AL13+AL20+AL14</f>
        <v>1295.9</v>
      </c>
      <c r="AM12" s="25">
        <f>AM13+AM20+AM14</f>
        <v>1545.2</v>
      </c>
      <c r="AN12" s="7">
        <f t="shared" si="12"/>
        <v>249.29999999999995</v>
      </c>
      <c r="AO12" s="7">
        <f t="shared" si="13"/>
        <v>119.23759549347943</v>
      </c>
      <c r="AP12" s="14">
        <f t="shared" si="44"/>
        <v>11903.5</v>
      </c>
      <c r="AQ12" s="15">
        <f t="shared" si="30"/>
        <v>12418.900000000001</v>
      </c>
      <c r="AR12" s="15">
        <f t="shared" si="14"/>
        <v>515.4000000000015</v>
      </c>
      <c r="AS12" s="16">
        <f>AQ12/AP12%</f>
        <v>104.32981896080986</v>
      </c>
      <c r="AT12" s="24">
        <f t="shared" si="31"/>
        <v>4005.0000000000005</v>
      </c>
      <c r="AU12" s="496">
        <f t="shared" si="45"/>
        <v>4122.900000000001</v>
      </c>
      <c r="AV12" s="496">
        <f t="shared" si="40"/>
        <v>117.90000000000009</v>
      </c>
      <c r="AW12" s="17">
        <f>AU12/AT12%</f>
        <v>102.9438202247191</v>
      </c>
      <c r="AX12" s="25">
        <f>AX13+AX20+AX14</f>
        <v>1324.7</v>
      </c>
      <c r="AY12" s="25">
        <f>AY13+AY20+AY14</f>
        <v>1499.7</v>
      </c>
      <c r="AZ12" s="7">
        <f t="shared" si="46"/>
        <v>175</v>
      </c>
      <c r="BA12" s="19">
        <f>AY12/AX12%</f>
        <v>113.2105382350721</v>
      </c>
      <c r="BB12" s="22">
        <f>BB13+BB20+BB14</f>
        <v>1361.9</v>
      </c>
      <c r="BC12" s="25">
        <f>BC13+BC20+BC14</f>
        <v>1327.4</v>
      </c>
      <c r="BD12" s="7">
        <f t="shared" si="16"/>
        <v>-34.5</v>
      </c>
      <c r="BE12" s="18">
        <f>BC12/BB12%</f>
        <v>97.46677435935091</v>
      </c>
      <c r="BF12" s="25">
        <f>BF13+BF20+BF14</f>
        <v>1318.4</v>
      </c>
      <c r="BG12" s="25">
        <f>BG13+BG20+BG14</f>
        <v>1295.8</v>
      </c>
      <c r="BH12" s="7">
        <f t="shared" si="18"/>
        <v>-22.600000000000136</v>
      </c>
      <c r="BI12" s="7">
        <f>BG12/BF12%</f>
        <v>98.28580097087378</v>
      </c>
      <c r="BJ12" s="26">
        <f t="shared" si="32"/>
        <v>4261.799999999999</v>
      </c>
      <c r="BK12" s="496">
        <f t="shared" si="33"/>
        <v>0</v>
      </c>
      <c r="BL12" s="496">
        <f t="shared" si="34"/>
        <v>-4261.799999999999</v>
      </c>
      <c r="BM12" s="497">
        <f>BK12/BJ12%</f>
        <v>0</v>
      </c>
      <c r="BN12" s="25">
        <f>BN13+BN20+BN14</f>
        <v>1420</v>
      </c>
      <c r="BO12" s="25">
        <f>BO13+BO20+BO14</f>
        <v>0</v>
      </c>
      <c r="BP12" s="7">
        <f t="shared" si="19"/>
        <v>-1420</v>
      </c>
      <c r="BQ12" s="19">
        <f t="shared" si="36"/>
        <v>0</v>
      </c>
      <c r="BR12" s="23">
        <f>BR13+BR20+BR14</f>
        <v>1383.1999999999998</v>
      </c>
      <c r="BS12" s="23">
        <f>BS13+BS20+BS14</f>
        <v>0</v>
      </c>
      <c r="BT12" s="7">
        <f t="shared" si="20"/>
        <v>-1383.1999999999998</v>
      </c>
      <c r="BU12" s="7">
        <f t="shared" si="21"/>
        <v>0</v>
      </c>
      <c r="BV12" s="25">
        <f>BV13+BV20+BV14</f>
        <v>1458.6</v>
      </c>
      <c r="BW12" s="25">
        <f>BW13+BW20+BW14</f>
        <v>0</v>
      </c>
      <c r="BX12" s="7">
        <f t="shared" si="22"/>
        <v>-1458.6</v>
      </c>
      <c r="BY12" s="20" t="s">
        <v>27</v>
      </c>
    </row>
    <row r="13" spans="1:77" ht="41.25" customHeight="1">
      <c r="A13" s="46" t="s">
        <v>108</v>
      </c>
      <c r="B13" s="30">
        <f t="shared" si="24"/>
        <v>8038.5</v>
      </c>
      <c r="C13" s="31">
        <f t="shared" si="24"/>
        <v>7829.4</v>
      </c>
      <c r="D13" s="33">
        <f t="shared" si="0"/>
        <v>-209.10000000000036</v>
      </c>
      <c r="E13" s="219">
        <f t="shared" si="1"/>
        <v>97.39876842694531</v>
      </c>
      <c r="F13" s="34">
        <f t="shared" si="2"/>
        <v>3783.2</v>
      </c>
      <c r="G13" s="35">
        <f t="shared" si="2"/>
        <v>5275.7</v>
      </c>
      <c r="H13" s="35">
        <f t="shared" si="3"/>
        <v>1492.5</v>
      </c>
      <c r="I13" s="36">
        <f>G13/F13%</f>
        <v>139.4507295411292</v>
      </c>
      <c r="J13" s="37">
        <f t="shared" si="41"/>
        <v>1672.1</v>
      </c>
      <c r="K13" s="38">
        <f t="shared" si="42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219">
        <f t="shared" si="8"/>
        <v>114.76014760147602</v>
      </c>
      <c r="R13" s="31">
        <v>529</v>
      </c>
      <c r="S13" s="31">
        <v>1033.5</v>
      </c>
      <c r="T13" s="32">
        <f t="shared" si="25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7"/>
        <v>2111.1</v>
      </c>
      <c r="AA13" s="38">
        <f t="shared" si="26"/>
        <v>2824.2</v>
      </c>
      <c r="AB13" s="38">
        <f t="shared" si="27"/>
        <v>713.0999999999999</v>
      </c>
      <c r="AC13" s="38">
        <f>AA13/Z13%</f>
        <v>133.7785988347307</v>
      </c>
      <c r="AD13" s="31">
        <v>652.5</v>
      </c>
      <c r="AE13" s="31">
        <v>1214.1</v>
      </c>
      <c r="AF13" s="32">
        <f t="shared" si="28"/>
        <v>561.5999999999999</v>
      </c>
      <c r="AG13" s="32">
        <f>AE13/AD13%</f>
        <v>186.06896551724137</v>
      </c>
      <c r="AH13" s="31">
        <v>743</v>
      </c>
      <c r="AI13" s="31">
        <v>724.6</v>
      </c>
      <c r="AJ13" s="32">
        <f t="shared" si="11"/>
        <v>-18.399999999999977</v>
      </c>
      <c r="AK13" s="32">
        <f t="shared" si="39"/>
        <v>97.5235531628533</v>
      </c>
      <c r="AL13" s="368">
        <v>715.6</v>
      </c>
      <c r="AM13" s="31">
        <v>885.5</v>
      </c>
      <c r="AN13" s="32">
        <f t="shared" si="12"/>
        <v>169.89999999999998</v>
      </c>
      <c r="AO13" s="32">
        <f t="shared" si="13"/>
        <v>123.74231414197875</v>
      </c>
      <c r="AP13" s="40">
        <f t="shared" si="44"/>
        <v>5737.7</v>
      </c>
      <c r="AQ13" s="41">
        <f t="shared" si="30"/>
        <v>7829.4</v>
      </c>
      <c r="AR13" s="41">
        <f t="shared" si="14"/>
        <v>2091.7</v>
      </c>
      <c r="AS13" s="42">
        <f>AQ13/AP13%</f>
        <v>136.4553741046064</v>
      </c>
      <c r="AT13" s="37">
        <f t="shared" si="31"/>
        <v>1954.5</v>
      </c>
      <c r="AU13" s="38">
        <f t="shared" si="45"/>
        <v>2553.7</v>
      </c>
      <c r="AV13" s="38">
        <f t="shared" si="40"/>
        <v>599.1999999999998</v>
      </c>
      <c r="AW13" s="43">
        <f>AU13/AT13%</f>
        <v>130.65745715016627</v>
      </c>
      <c r="AX13" s="30">
        <v>674.5</v>
      </c>
      <c r="AY13" s="31">
        <v>884.1</v>
      </c>
      <c r="AZ13" s="32">
        <f t="shared" si="46"/>
        <v>209.60000000000002</v>
      </c>
      <c r="BA13" s="44">
        <f aca="true" t="shared" si="47" ref="BA13:BA28">AY13/AX13%</f>
        <v>131.07487027427723</v>
      </c>
      <c r="BB13" s="30">
        <v>727.4</v>
      </c>
      <c r="BC13" s="31">
        <f>799.1+38.9</f>
        <v>838</v>
      </c>
      <c r="BD13" s="32">
        <f t="shared" si="16"/>
        <v>110.60000000000002</v>
      </c>
      <c r="BE13" s="28">
        <f>BC13/BB13%</f>
        <v>115.2048391531482</v>
      </c>
      <c r="BF13" s="39">
        <v>552.6</v>
      </c>
      <c r="BG13" s="31">
        <v>831.6</v>
      </c>
      <c r="BH13" s="32">
        <f t="shared" si="18"/>
        <v>279</v>
      </c>
      <c r="BI13" s="28">
        <f aca="true" t="shared" si="48" ref="BI13:BI20">BG13/BF13%</f>
        <v>150.48859934853422</v>
      </c>
      <c r="BJ13" s="45">
        <f t="shared" si="32"/>
        <v>2300.8</v>
      </c>
      <c r="BK13" s="38">
        <f t="shared" si="33"/>
        <v>0</v>
      </c>
      <c r="BL13" s="38">
        <f t="shared" si="34"/>
        <v>-2300.8</v>
      </c>
      <c r="BM13" s="43">
        <f>BK13/BJ13%</f>
        <v>0</v>
      </c>
      <c r="BN13" s="30">
        <v>772.1</v>
      </c>
      <c r="BO13" s="31"/>
      <c r="BP13" s="7">
        <f t="shared" si="19"/>
        <v>-772.1</v>
      </c>
      <c r="BQ13" s="44">
        <f>BO13/BN13%</f>
        <v>0</v>
      </c>
      <c r="BR13" s="368">
        <v>748.8</v>
      </c>
      <c r="BS13" s="31"/>
      <c r="BT13" s="32">
        <f t="shared" si="20"/>
        <v>-748.8</v>
      </c>
      <c r="BU13" s="32">
        <f>BS13/BR13%</f>
        <v>0</v>
      </c>
      <c r="BV13" s="369">
        <v>779.9</v>
      </c>
      <c r="BW13" s="31"/>
      <c r="BX13" s="32">
        <f t="shared" si="22"/>
        <v>-779.9</v>
      </c>
      <c r="BY13" s="32"/>
    </row>
    <row r="14" spans="1:77" ht="60.75" customHeight="1">
      <c r="A14" s="233" t="s">
        <v>109</v>
      </c>
      <c r="B14" s="30">
        <f t="shared" si="24"/>
        <v>7748.2</v>
      </c>
      <c r="C14" s="31">
        <f t="shared" si="24"/>
        <v>4444.5</v>
      </c>
      <c r="D14" s="33">
        <f>C14-B14</f>
        <v>-3303.7</v>
      </c>
      <c r="E14" s="219">
        <f t="shared" si="1"/>
        <v>57.36170981647351</v>
      </c>
      <c r="F14" s="34">
        <f t="shared" si="2"/>
        <v>3946.7</v>
      </c>
      <c r="G14" s="35">
        <f t="shared" si="2"/>
        <v>2935.3</v>
      </c>
      <c r="H14" s="234">
        <f t="shared" si="3"/>
        <v>-1011.3999999999996</v>
      </c>
      <c r="I14" s="235">
        <f>G14/F14%</f>
        <v>74.37352725061444</v>
      </c>
      <c r="J14" s="37">
        <f t="shared" si="41"/>
        <v>1980.1</v>
      </c>
      <c r="K14" s="38">
        <f t="shared" si="42"/>
        <v>1343.4</v>
      </c>
      <c r="L14" s="38">
        <f t="shared" si="5"/>
        <v>-636.6999999999998</v>
      </c>
      <c r="M14" s="43">
        <f t="shared" si="6"/>
        <v>67.84505833038736</v>
      </c>
      <c r="N14" s="236">
        <v>952.3</v>
      </c>
      <c r="O14" s="31">
        <v>328.2</v>
      </c>
      <c r="P14" s="33">
        <f t="shared" si="7"/>
        <v>-624.0999999999999</v>
      </c>
      <c r="Q14" s="219">
        <f t="shared" si="8"/>
        <v>34.46392943400189</v>
      </c>
      <c r="R14" s="236">
        <v>499.8</v>
      </c>
      <c r="S14" s="31">
        <v>360.5</v>
      </c>
      <c r="T14" s="33">
        <f t="shared" si="25"/>
        <v>-139.3</v>
      </c>
      <c r="U14" s="7">
        <f t="shared" si="43"/>
        <v>72.12885154061624</v>
      </c>
      <c r="V14" s="236">
        <v>528</v>
      </c>
      <c r="W14" s="31">
        <v>654.7</v>
      </c>
      <c r="X14" s="33">
        <f t="shared" si="9"/>
        <v>126.70000000000005</v>
      </c>
      <c r="Y14" s="219">
        <f t="shared" si="10"/>
        <v>123.99621212121212</v>
      </c>
      <c r="Z14" s="38">
        <f t="shared" si="37"/>
        <v>1966.6</v>
      </c>
      <c r="AA14" s="38">
        <f t="shared" si="26"/>
        <v>1591.9</v>
      </c>
      <c r="AB14" s="38">
        <f t="shared" si="27"/>
        <v>-374.6999999999998</v>
      </c>
      <c r="AC14" s="38">
        <f>AA14/Z14%</f>
        <v>80.94681175633073</v>
      </c>
      <c r="AD14" s="236">
        <v>562.4</v>
      </c>
      <c r="AE14" s="31">
        <v>565.7</v>
      </c>
      <c r="AF14" s="33">
        <f t="shared" si="28"/>
        <v>3.300000000000068</v>
      </c>
      <c r="AG14" s="219">
        <f>AE14/AD14%</f>
        <v>100.58677098150784</v>
      </c>
      <c r="AH14" s="236">
        <v>858.9</v>
      </c>
      <c r="AI14" s="31">
        <v>366.5</v>
      </c>
      <c r="AJ14" s="33">
        <f t="shared" si="11"/>
        <v>-492.4</v>
      </c>
      <c r="AK14" s="32">
        <f t="shared" si="39"/>
        <v>42.67085807428106</v>
      </c>
      <c r="AL14" s="370">
        <v>545.3</v>
      </c>
      <c r="AM14" s="31">
        <v>659.7</v>
      </c>
      <c r="AN14" s="33">
        <f t="shared" si="12"/>
        <v>114.40000000000009</v>
      </c>
      <c r="AO14" s="219">
        <f t="shared" si="13"/>
        <v>120.97927746194758</v>
      </c>
      <c r="AP14" s="40">
        <f t="shared" si="44"/>
        <v>5892.2</v>
      </c>
      <c r="AQ14" s="41">
        <f t="shared" si="30"/>
        <v>4444.5</v>
      </c>
      <c r="AR14" s="41">
        <f t="shared" si="14"/>
        <v>-1447.6999999999998</v>
      </c>
      <c r="AS14" s="42">
        <f>AQ14/AP14%</f>
        <v>75.43022979532263</v>
      </c>
      <c r="AT14" s="37">
        <f t="shared" si="31"/>
        <v>1945.5</v>
      </c>
      <c r="AU14" s="38">
        <f t="shared" si="45"/>
        <v>1509.2</v>
      </c>
      <c r="AV14" s="38">
        <f t="shared" si="40"/>
        <v>-436.29999999999995</v>
      </c>
      <c r="AW14" s="43">
        <f>AU14/AT14%</f>
        <v>77.57388846055</v>
      </c>
      <c r="AX14" s="236">
        <v>615.2</v>
      </c>
      <c r="AY14" s="31">
        <v>590.6</v>
      </c>
      <c r="AZ14" s="33">
        <f t="shared" si="46"/>
        <v>-24.600000000000023</v>
      </c>
      <c r="BA14" s="237">
        <f t="shared" si="47"/>
        <v>96.00130039011704</v>
      </c>
      <c r="BB14" s="236">
        <v>599.5</v>
      </c>
      <c r="BC14" s="31">
        <f>441.2+23.2</f>
        <v>464.4</v>
      </c>
      <c r="BD14" s="33">
        <f t="shared" si="16"/>
        <v>-135.10000000000002</v>
      </c>
      <c r="BE14" s="219">
        <f>BC14/BB14%</f>
        <v>77.46455379482902</v>
      </c>
      <c r="BF14" s="238">
        <v>730.8</v>
      </c>
      <c r="BG14" s="31">
        <v>454.2</v>
      </c>
      <c r="BH14" s="33">
        <f t="shared" si="18"/>
        <v>-276.59999999999997</v>
      </c>
      <c r="BI14" s="219">
        <f t="shared" si="48"/>
        <v>62.151067323481115</v>
      </c>
      <c r="BJ14" s="45">
        <f t="shared" si="32"/>
        <v>1856</v>
      </c>
      <c r="BK14" s="38">
        <f t="shared" si="33"/>
        <v>0</v>
      </c>
      <c r="BL14" s="38">
        <f t="shared" si="34"/>
        <v>-1856</v>
      </c>
      <c r="BM14" s="43">
        <f>BK14/BJ14%</f>
        <v>0</v>
      </c>
      <c r="BN14" s="236">
        <v>612.9</v>
      </c>
      <c r="BO14" s="31"/>
      <c r="BP14" s="33">
        <f t="shared" si="19"/>
        <v>-612.9</v>
      </c>
      <c r="BQ14" s="237">
        <f>BO14/BN14%</f>
        <v>0</v>
      </c>
      <c r="BR14" s="31">
        <v>599.4</v>
      </c>
      <c r="BS14" s="31"/>
      <c r="BT14" s="33">
        <f t="shared" si="20"/>
        <v>-599.4</v>
      </c>
      <c r="BU14" s="33">
        <f>BS14/BR14%</f>
        <v>0</v>
      </c>
      <c r="BV14" s="371">
        <v>643.7</v>
      </c>
      <c r="BW14" s="31"/>
      <c r="BX14" s="33">
        <f t="shared" si="22"/>
        <v>-643.7</v>
      </c>
      <c r="BY14" s="219">
        <f t="shared" si="23"/>
        <v>0</v>
      </c>
    </row>
    <row r="15" spans="1:78" ht="15.75" customHeight="1" hidden="1">
      <c r="A15" s="239" t="s">
        <v>110</v>
      </c>
      <c r="B15" s="240">
        <f t="shared" si="24"/>
        <v>0</v>
      </c>
      <c r="C15" s="241">
        <f t="shared" si="24"/>
        <v>0</v>
      </c>
      <c r="D15" s="242">
        <f t="shared" si="0"/>
        <v>0</v>
      </c>
      <c r="E15" s="243" t="e">
        <f t="shared" si="1"/>
        <v>#DIV/0!</v>
      </c>
      <c r="F15" s="244">
        <f t="shared" si="2"/>
        <v>0</v>
      </c>
      <c r="G15" s="242">
        <f t="shared" si="2"/>
        <v>0</v>
      </c>
      <c r="H15" s="242">
        <f t="shared" si="3"/>
        <v>0</v>
      </c>
      <c r="I15" s="245" t="e">
        <f>G15/F15%</f>
        <v>#DIV/0!</v>
      </c>
      <c r="J15" s="246">
        <f t="shared" si="41"/>
        <v>0</v>
      </c>
      <c r="K15" s="242">
        <f t="shared" si="42"/>
        <v>0</v>
      </c>
      <c r="L15" s="242">
        <f t="shared" si="5"/>
        <v>0</v>
      </c>
      <c r="M15" s="243" t="e">
        <f t="shared" si="6"/>
        <v>#DIV/0!</v>
      </c>
      <c r="N15" s="247"/>
      <c r="O15" s="241"/>
      <c r="P15" s="242"/>
      <c r="Q15" s="219" t="e">
        <f t="shared" si="8"/>
        <v>#DIV/0!</v>
      </c>
      <c r="R15" s="241"/>
      <c r="S15" s="241"/>
      <c r="T15" s="242"/>
      <c r="U15" s="7" t="e">
        <f t="shared" si="43"/>
        <v>#DIV/0!</v>
      </c>
      <c r="V15" s="241"/>
      <c r="W15" s="241"/>
      <c r="X15" s="242">
        <f t="shared" si="9"/>
        <v>0</v>
      </c>
      <c r="Y15" s="242" t="e">
        <f t="shared" si="10"/>
        <v>#DIV/0!</v>
      </c>
      <c r="Z15" s="242">
        <f t="shared" si="37"/>
        <v>0</v>
      </c>
      <c r="AA15" s="242">
        <f t="shared" si="26"/>
        <v>0</v>
      </c>
      <c r="AB15" s="242">
        <f t="shared" si="27"/>
        <v>0</v>
      </c>
      <c r="AC15" s="242" t="e">
        <f>AA15/Z15%</f>
        <v>#DIV/0!</v>
      </c>
      <c r="AD15" s="241"/>
      <c r="AE15" s="241"/>
      <c r="AF15" s="242">
        <f t="shared" si="28"/>
        <v>0</v>
      </c>
      <c r="AG15" s="242"/>
      <c r="AH15" s="241"/>
      <c r="AI15" s="241"/>
      <c r="AJ15" s="242"/>
      <c r="AK15" s="32" t="e">
        <f t="shared" si="39"/>
        <v>#DIV/0!</v>
      </c>
      <c r="AL15" s="241"/>
      <c r="AM15" s="241"/>
      <c r="AN15" s="242">
        <f t="shared" si="12"/>
        <v>0</v>
      </c>
      <c r="AO15" s="242" t="e">
        <f t="shared" si="13"/>
        <v>#DIV/0!</v>
      </c>
      <c r="AP15" s="244">
        <f t="shared" si="44"/>
        <v>0</v>
      </c>
      <c r="AQ15" s="242">
        <f t="shared" si="30"/>
        <v>0</v>
      </c>
      <c r="AR15" s="242">
        <f t="shared" si="14"/>
        <v>0</v>
      </c>
      <c r="AS15" s="243" t="e">
        <f>AQ15/AP15%</f>
        <v>#DIV/0!</v>
      </c>
      <c r="AT15" s="246">
        <f t="shared" si="31"/>
        <v>0</v>
      </c>
      <c r="AU15" s="242">
        <f t="shared" si="45"/>
        <v>0</v>
      </c>
      <c r="AV15" s="242">
        <f t="shared" si="40"/>
        <v>0</v>
      </c>
      <c r="AW15" s="243" t="e">
        <f>AU15/AT15%</f>
        <v>#DIV/0!</v>
      </c>
      <c r="AX15" s="240"/>
      <c r="AY15" s="241"/>
      <c r="AZ15" s="242"/>
      <c r="BA15" s="245"/>
      <c r="BB15" s="240"/>
      <c r="BC15" s="241"/>
      <c r="BD15" s="242"/>
      <c r="BE15" s="243"/>
      <c r="BF15" s="247"/>
      <c r="BG15" s="241"/>
      <c r="BH15" s="242">
        <f t="shared" si="18"/>
        <v>0</v>
      </c>
      <c r="BI15" s="243" t="e">
        <f t="shared" si="48"/>
        <v>#DIV/0!</v>
      </c>
      <c r="BJ15" s="244">
        <f t="shared" si="32"/>
        <v>0</v>
      </c>
      <c r="BK15" s="242"/>
      <c r="BL15" s="242"/>
      <c r="BM15" s="243"/>
      <c r="BN15" s="240"/>
      <c r="BO15" s="241"/>
      <c r="BP15" s="248"/>
      <c r="BQ15" s="237" t="e">
        <f aca="true" t="shared" si="49" ref="BQ15:BQ20">BO15/BN15%</f>
        <v>#DIV/0!</v>
      </c>
      <c r="BR15" s="241"/>
      <c r="BS15" s="241"/>
      <c r="BT15" s="242"/>
      <c r="BU15" s="242"/>
      <c r="BV15" s="247"/>
      <c r="BW15" s="241"/>
      <c r="BX15" s="242">
        <f t="shared" si="22"/>
        <v>0</v>
      </c>
      <c r="BY15" s="242" t="e">
        <f t="shared" si="23"/>
        <v>#DIV/0!</v>
      </c>
      <c r="BZ15" s="249"/>
    </row>
    <row r="16" spans="1:78" ht="15.75" customHeight="1" hidden="1">
      <c r="A16" s="239" t="s">
        <v>111</v>
      </c>
      <c r="B16" s="240"/>
      <c r="C16" s="241">
        <f>K16+AA16+AU16+BK16</f>
        <v>0</v>
      </c>
      <c r="D16" s="242">
        <f>C16-B16</f>
        <v>0</v>
      </c>
      <c r="E16" s="243"/>
      <c r="F16" s="244">
        <f t="shared" si="2"/>
        <v>0</v>
      </c>
      <c r="G16" s="242">
        <f t="shared" si="2"/>
        <v>0</v>
      </c>
      <c r="H16" s="242">
        <f t="shared" si="3"/>
        <v>0</v>
      </c>
      <c r="I16" s="245"/>
      <c r="J16" s="246"/>
      <c r="K16" s="242">
        <f t="shared" si="42"/>
        <v>0</v>
      </c>
      <c r="L16" s="242">
        <f t="shared" si="5"/>
        <v>0</v>
      </c>
      <c r="M16" s="243"/>
      <c r="N16" s="247"/>
      <c r="O16" s="241"/>
      <c r="P16" s="242"/>
      <c r="Q16" s="219" t="e">
        <f t="shared" si="8"/>
        <v>#DIV/0!</v>
      </c>
      <c r="R16" s="241"/>
      <c r="S16" s="241"/>
      <c r="T16" s="242"/>
      <c r="U16" s="7" t="e">
        <f t="shared" si="43"/>
        <v>#DIV/0!</v>
      </c>
      <c r="V16" s="241"/>
      <c r="W16" s="241"/>
      <c r="X16" s="242"/>
      <c r="Y16" s="242"/>
      <c r="Z16" s="242"/>
      <c r="AA16" s="242">
        <f t="shared" si="26"/>
        <v>0</v>
      </c>
      <c r="AB16" s="242">
        <f t="shared" si="27"/>
        <v>0</v>
      </c>
      <c r="AC16" s="242"/>
      <c r="AD16" s="241"/>
      <c r="AE16" s="241"/>
      <c r="AF16" s="242">
        <f t="shared" si="28"/>
        <v>0</v>
      </c>
      <c r="AG16" s="242"/>
      <c r="AH16" s="241"/>
      <c r="AI16" s="241"/>
      <c r="AJ16" s="242"/>
      <c r="AK16" s="32" t="e">
        <f t="shared" si="39"/>
        <v>#DIV/0!</v>
      </c>
      <c r="AL16" s="241"/>
      <c r="AM16" s="241"/>
      <c r="AN16" s="242"/>
      <c r="AO16" s="242"/>
      <c r="AP16" s="244">
        <f t="shared" si="44"/>
        <v>0</v>
      </c>
      <c r="AQ16" s="242">
        <f t="shared" si="30"/>
        <v>0</v>
      </c>
      <c r="AR16" s="242">
        <f t="shared" si="14"/>
        <v>0</v>
      </c>
      <c r="AS16" s="243"/>
      <c r="AT16" s="246">
        <f t="shared" si="31"/>
        <v>0</v>
      </c>
      <c r="AU16" s="242">
        <f t="shared" si="45"/>
        <v>0</v>
      </c>
      <c r="AV16" s="242">
        <f t="shared" si="40"/>
        <v>0</v>
      </c>
      <c r="AW16" s="243"/>
      <c r="AX16" s="240"/>
      <c r="AY16" s="241"/>
      <c r="AZ16" s="242"/>
      <c r="BA16" s="245"/>
      <c r="BB16" s="240"/>
      <c r="BC16" s="241"/>
      <c r="BD16" s="242"/>
      <c r="BE16" s="243"/>
      <c r="BF16" s="247"/>
      <c r="BG16" s="241"/>
      <c r="BH16" s="242"/>
      <c r="BI16" s="243"/>
      <c r="BJ16" s="244"/>
      <c r="BK16" s="242"/>
      <c r="BL16" s="242"/>
      <c r="BM16" s="243"/>
      <c r="BN16" s="240"/>
      <c r="BO16" s="241"/>
      <c r="BP16" s="248"/>
      <c r="BQ16" s="237" t="e">
        <f t="shared" si="49"/>
        <v>#DIV/0!</v>
      </c>
      <c r="BR16" s="241"/>
      <c r="BS16" s="241"/>
      <c r="BT16" s="242"/>
      <c r="BU16" s="242"/>
      <c r="BV16" s="247"/>
      <c r="BW16" s="241"/>
      <c r="BX16" s="242"/>
      <c r="BY16" s="242"/>
      <c r="BZ16" s="249"/>
    </row>
    <row r="17" spans="1:78" ht="15.75" customHeight="1" hidden="1">
      <c r="A17" s="250" t="s">
        <v>112</v>
      </c>
      <c r="B17" s="240">
        <f>J17+Z17+AT17+BJ17</f>
        <v>0</v>
      </c>
      <c r="C17" s="241">
        <f>K17+AA17+AU17+BK17</f>
        <v>0</v>
      </c>
      <c r="D17" s="242">
        <f t="shared" si="0"/>
        <v>0</v>
      </c>
      <c r="E17" s="243" t="e">
        <f t="shared" si="1"/>
        <v>#DIV/0!</v>
      </c>
      <c r="F17" s="244">
        <f t="shared" si="2"/>
        <v>0</v>
      </c>
      <c r="G17" s="242">
        <f t="shared" si="2"/>
        <v>0</v>
      </c>
      <c r="H17" s="242">
        <f t="shared" si="3"/>
        <v>0</v>
      </c>
      <c r="I17" s="245" t="e">
        <f>G17/F17%</f>
        <v>#DIV/0!</v>
      </c>
      <c r="J17" s="246">
        <f t="shared" si="41"/>
        <v>0</v>
      </c>
      <c r="K17" s="242">
        <f t="shared" si="42"/>
        <v>0</v>
      </c>
      <c r="L17" s="242">
        <f t="shared" si="5"/>
        <v>0</v>
      </c>
      <c r="M17" s="243" t="e">
        <f t="shared" si="6"/>
        <v>#DIV/0!</v>
      </c>
      <c r="N17" s="247"/>
      <c r="O17" s="241"/>
      <c r="P17" s="242"/>
      <c r="Q17" s="219" t="e">
        <f t="shared" si="8"/>
        <v>#DIV/0!</v>
      </c>
      <c r="R17" s="241"/>
      <c r="S17" s="241"/>
      <c r="T17" s="242"/>
      <c r="U17" s="7" t="e">
        <f t="shared" si="43"/>
        <v>#DIV/0!</v>
      </c>
      <c r="V17" s="241"/>
      <c r="W17" s="241"/>
      <c r="X17" s="242">
        <f t="shared" si="9"/>
        <v>0</v>
      </c>
      <c r="Y17" s="242" t="e">
        <f>W17/V17%</f>
        <v>#DIV/0!</v>
      </c>
      <c r="Z17" s="242">
        <f t="shared" si="37"/>
        <v>0</v>
      </c>
      <c r="AA17" s="242">
        <f t="shared" si="26"/>
        <v>0</v>
      </c>
      <c r="AB17" s="242">
        <f t="shared" si="27"/>
        <v>0</v>
      </c>
      <c r="AC17" s="242" t="e">
        <f>AA17/Z17%</f>
        <v>#DIV/0!</v>
      </c>
      <c r="AD17" s="241"/>
      <c r="AE17" s="241"/>
      <c r="AF17" s="242">
        <f t="shared" si="28"/>
        <v>0</v>
      </c>
      <c r="AG17" s="242"/>
      <c r="AH17" s="241"/>
      <c r="AI17" s="241"/>
      <c r="AJ17" s="242"/>
      <c r="AK17" s="32" t="e">
        <f t="shared" si="39"/>
        <v>#DIV/0!</v>
      </c>
      <c r="AL17" s="241"/>
      <c r="AM17" s="241"/>
      <c r="AN17" s="242">
        <f t="shared" si="12"/>
        <v>0</v>
      </c>
      <c r="AO17" s="242" t="e">
        <f t="shared" si="13"/>
        <v>#DIV/0!</v>
      </c>
      <c r="AP17" s="244">
        <f t="shared" si="44"/>
        <v>0</v>
      </c>
      <c r="AQ17" s="242">
        <f t="shared" si="30"/>
        <v>0</v>
      </c>
      <c r="AR17" s="242">
        <f t="shared" si="14"/>
        <v>0</v>
      </c>
      <c r="AS17" s="243" t="e">
        <f>AQ17/AP17%</f>
        <v>#DIV/0!</v>
      </c>
      <c r="AT17" s="246">
        <f t="shared" si="31"/>
        <v>0</v>
      </c>
      <c r="AU17" s="242">
        <f t="shared" si="45"/>
        <v>0</v>
      </c>
      <c r="AV17" s="242">
        <f t="shared" si="40"/>
        <v>0</v>
      </c>
      <c r="AW17" s="243" t="e">
        <f>AU17/AT17%</f>
        <v>#DIV/0!</v>
      </c>
      <c r="AX17" s="240"/>
      <c r="AY17" s="241"/>
      <c r="AZ17" s="242"/>
      <c r="BA17" s="245"/>
      <c r="BB17" s="240"/>
      <c r="BC17" s="241"/>
      <c r="BD17" s="242"/>
      <c r="BE17" s="243"/>
      <c r="BF17" s="247"/>
      <c r="BG17" s="241"/>
      <c r="BH17" s="242">
        <f t="shared" si="18"/>
        <v>0</v>
      </c>
      <c r="BI17" s="243" t="e">
        <f t="shared" si="48"/>
        <v>#DIV/0!</v>
      </c>
      <c r="BJ17" s="244">
        <f t="shared" si="32"/>
        <v>0</v>
      </c>
      <c r="BK17" s="242"/>
      <c r="BL17" s="242"/>
      <c r="BM17" s="243"/>
      <c r="BN17" s="240"/>
      <c r="BO17" s="241"/>
      <c r="BP17" s="248"/>
      <c r="BQ17" s="237" t="e">
        <f t="shared" si="49"/>
        <v>#DIV/0!</v>
      </c>
      <c r="BR17" s="241"/>
      <c r="BS17" s="241"/>
      <c r="BT17" s="242"/>
      <c r="BU17" s="242"/>
      <c r="BV17" s="247"/>
      <c r="BW17" s="241"/>
      <c r="BX17" s="242">
        <f t="shared" si="22"/>
        <v>0</v>
      </c>
      <c r="BY17" s="242" t="e">
        <f t="shared" si="23"/>
        <v>#DIV/0!</v>
      </c>
      <c r="BZ17" s="249"/>
    </row>
    <row r="18" spans="1:78" ht="15.75" customHeight="1" hidden="1">
      <c r="A18" s="250" t="s">
        <v>113</v>
      </c>
      <c r="B18" s="240"/>
      <c r="C18" s="241"/>
      <c r="D18" s="242"/>
      <c r="E18" s="243"/>
      <c r="F18" s="244">
        <f t="shared" si="2"/>
        <v>0</v>
      </c>
      <c r="G18" s="242">
        <f t="shared" si="2"/>
        <v>0</v>
      </c>
      <c r="H18" s="242">
        <f t="shared" si="3"/>
        <v>0</v>
      </c>
      <c r="I18" s="245" t="e">
        <f>G18/F18%</f>
        <v>#DIV/0!</v>
      </c>
      <c r="J18" s="246"/>
      <c r="K18" s="242"/>
      <c r="L18" s="242"/>
      <c r="M18" s="243"/>
      <c r="N18" s="247"/>
      <c r="O18" s="241"/>
      <c r="P18" s="242"/>
      <c r="Q18" s="219" t="e">
        <f t="shared" si="8"/>
        <v>#DIV/0!</v>
      </c>
      <c r="R18" s="241"/>
      <c r="S18" s="241"/>
      <c r="T18" s="242"/>
      <c r="U18" s="7" t="e">
        <f t="shared" si="43"/>
        <v>#DIV/0!</v>
      </c>
      <c r="V18" s="241"/>
      <c r="W18" s="241"/>
      <c r="X18" s="242"/>
      <c r="Y18" s="242"/>
      <c r="Z18" s="242"/>
      <c r="AA18" s="242">
        <f t="shared" si="26"/>
        <v>0</v>
      </c>
      <c r="AB18" s="242">
        <f t="shared" si="27"/>
        <v>0</v>
      </c>
      <c r="AC18" s="242" t="e">
        <f>AA18/Z18%</f>
        <v>#DIV/0!</v>
      </c>
      <c r="AD18" s="241"/>
      <c r="AE18" s="241"/>
      <c r="AF18" s="242">
        <f t="shared" si="28"/>
        <v>0</v>
      </c>
      <c r="AG18" s="242"/>
      <c r="AH18" s="241"/>
      <c r="AI18" s="241"/>
      <c r="AJ18" s="242"/>
      <c r="AK18" s="32" t="e">
        <f t="shared" si="39"/>
        <v>#DIV/0!</v>
      </c>
      <c r="AL18" s="241"/>
      <c r="AM18" s="241"/>
      <c r="AN18" s="242"/>
      <c r="AO18" s="242"/>
      <c r="AP18" s="244">
        <f t="shared" si="44"/>
        <v>0</v>
      </c>
      <c r="AQ18" s="242">
        <f t="shared" si="30"/>
        <v>0</v>
      </c>
      <c r="AR18" s="242">
        <f t="shared" si="14"/>
        <v>0</v>
      </c>
      <c r="AS18" s="243" t="e">
        <f>AQ18/AP18%</f>
        <v>#DIV/0!</v>
      </c>
      <c r="AT18" s="246"/>
      <c r="AU18" s="242">
        <f t="shared" si="45"/>
        <v>0</v>
      </c>
      <c r="AV18" s="242">
        <f t="shared" si="40"/>
        <v>0</v>
      </c>
      <c r="AW18" s="243" t="e">
        <f>AU18/AT18%</f>
        <v>#DIV/0!</v>
      </c>
      <c r="AX18" s="240"/>
      <c r="AY18" s="241"/>
      <c r="AZ18" s="242"/>
      <c r="BA18" s="245"/>
      <c r="BB18" s="240"/>
      <c r="BC18" s="241"/>
      <c r="BD18" s="242"/>
      <c r="BE18" s="243"/>
      <c r="BF18" s="247"/>
      <c r="BG18" s="241"/>
      <c r="BH18" s="242"/>
      <c r="BI18" s="243"/>
      <c r="BJ18" s="244"/>
      <c r="BK18" s="242"/>
      <c r="BL18" s="242"/>
      <c r="BM18" s="243"/>
      <c r="BN18" s="240"/>
      <c r="BO18" s="241"/>
      <c r="BP18" s="248"/>
      <c r="BQ18" s="237" t="e">
        <f t="shared" si="49"/>
        <v>#DIV/0!</v>
      </c>
      <c r="BR18" s="241"/>
      <c r="BS18" s="241"/>
      <c r="BT18" s="242"/>
      <c r="BU18" s="242"/>
      <c r="BV18" s="247"/>
      <c r="BW18" s="241"/>
      <c r="BX18" s="242"/>
      <c r="BY18" s="242"/>
      <c r="BZ18" s="249"/>
    </row>
    <row r="19" spans="1:78" ht="15.75" customHeight="1" hidden="1">
      <c r="A19" s="250" t="s">
        <v>114</v>
      </c>
      <c r="B19" s="240">
        <f>J19+Z19+AT19+BJ19</f>
        <v>0</v>
      </c>
      <c r="C19" s="241">
        <f>K19+AA19+AU19+BK19</f>
        <v>0</v>
      </c>
      <c r="D19" s="242">
        <f t="shared" si="0"/>
        <v>0</v>
      </c>
      <c r="E19" s="243" t="e">
        <f t="shared" si="1"/>
        <v>#DIV/0!</v>
      </c>
      <c r="F19" s="244">
        <f t="shared" si="2"/>
        <v>0</v>
      </c>
      <c r="G19" s="242">
        <f t="shared" si="2"/>
        <v>0</v>
      </c>
      <c r="H19" s="242">
        <f t="shared" si="3"/>
        <v>0</v>
      </c>
      <c r="I19" s="245" t="e">
        <f>G19/F19%</f>
        <v>#DIV/0!</v>
      </c>
      <c r="J19" s="246">
        <f t="shared" si="41"/>
        <v>0</v>
      </c>
      <c r="K19" s="242">
        <f t="shared" si="42"/>
        <v>0</v>
      </c>
      <c r="L19" s="242">
        <f t="shared" si="5"/>
        <v>0</v>
      </c>
      <c r="M19" s="243" t="e">
        <f t="shared" si="6"/>
        <v>#DIV/0!</v>
      </c>
      <c r="N19" s="247"/>
      <c r="O19" s="241"/>
      <c r="P19" s="242"/>
      <c r="Q19" s="219" t="e">
        <f t="shared" si="8"/>
        <v>#DIV/0!</v>
      </c>
      <c r="R19" s="241"/>
      <c r="S19" s="241"/>
      <c r="T19" s="242"/>
      <c r="U19" s="7" t="e">
        <f t="shared" si="43"/>
        <v>#DIV/0!</v>
      </c>
      <c r="V19" s="241"/>
      <c r="W19" s="241"/>
      <c r="X19" s="242">
        <f t="shared" si="9"/>
        <v>0</v>
      </c>
      <c r="Y19" s="242" t="e">
        <f t="shared" si="10"/>
        <v>#DIV/0!</v>
      </c>
      <c r="Z19" s="242">
        <f t="shared" si="37"/>
        <v>0</v>
      </c>
      <c r="AA19" s="242">
        <f t="shared" si="26"/>
        <v>0</v>
      </c>
      <c r="AB19" s="242">
        <f t="shared" si="27"/>
        <v>0</v>
      </c>
      <c r="AC19" s="242" t="e">
        <f>AA19/Z19%</f>
        <v>#DIV/0!</v>
      </c>
      <c r="AD19" s="241"/>
      <c r="AE19" s="241"/>
      <c r="AF19" s="242">
        <f t="shared" si="28"/>
        <v>0</v>
      </c>
      <c r="AG19" s="242"/>
      <c r="AH19" s="241"/>
      <c r="AI19" s="241"/>
      <c r="AJ19" s="242"/>
      <c r="AK19" s="32" t="e">
        <f t="shared" si="39"/>
        <v>#DIV/0!</v>
      </c>
      <c r="AL19" s="241"/>
      <c r="AM19" s="241"/>
      <c r="AN19" s="242">
        <f t="shared" si="12"/>
        <v>0</v>
      </c>
      <c r="AO19" s="242" t="e">
        <f t="shared" si="13"/>
        <v>#DIV/0!</v>
      </c>
      <c r="AP19" s="244">
        <f t="shared" si="44"/>
        <v>0</v>
      </c>
      <c r="AQ19" s="242">
        <f t="shared" si="30"/>
        <v>0</v>
      </c>
      <c r="AR19" s="242">
        <f t="shared" si="14"/>
        <v>0</v>
      </c>
      <c r="AS19" s="243" t="e">
        <f>AQ19/AP19%</f>
        <v>#DIV/0!</v>
      </c>
      <c r="AT19" s="246">
        <f aca="true" t="shared" si="50" ref="AT19:AT39">AX19+BB19+BF19</f>
        <v>0</v>
      </c>
      <c r="AU19" s="242">
        <f t="shared" si="45"/>
        <v>0</v>
      </c>
      <c r="AV19" s="242">
        <f t="shared" si="40"/>
        <v>0</v>
      </c>
      <c r="AW19" s="243" t="e">
        <f>AU19/AT19%</f>
        <v>#DIV/0!</v>
      </c>
      <c r="AX19" s="240"/>
      <c r="AY19" s="241"/>
      <c r="AZ19" s="242"/>
      <c r="BA19" s="245"/>
      <c r="BB19" s="240"/>
      <c r="BC19" s="241"/>
      <c r="BD19" s="242"/>
      <c r="BE19" s="243"/>
      <c r="BF19" s="247"/>
      <c r="BG19" s="241"/>
      <c r="BH19" s="242">
        <f t="shared" si="18"/>
        <v>0</v>
      </c>
      <c r="BI19" s="243" t="e">
        <f t="shared" si="48"/>
        <v>#DIV/0!</v>
      </c>
      <c r="BJ19" s="244">
        <f t="shared" si="32"/>
        <v>0</v>
      </c>
      <c r="BK19" s="242"/>
      <c r="BL19" s="242"/>
      <c r="BM19" s="243"/>
      <c r="BN19" s="240"/>
      <c r="BO19" s="241"/>
      <c r="BP19" s="248"/>
      <c r="BQ19" s="237" t="e">
        <f t="shared" si="49"/>
        <v>#DIV/0!</v>
      </c>
      <c r="BR19" s="241"/>
      <c r="BS19" s="241"/>
      <c r="BT19" s="242"/>
      <c r="BU19" s="242"/>
      <c r="BV19" s="247"/>
      <c r="BW19" s="241"/>
      <c r="BX19" s="242">
        <f t="shared" si="22"/>
        <v>0</v>
      </c>
      <c r="BY19" s="242" t="e">
        <f t="shared" si="23"/>
        <v>#DIV/0!</v>
      </c>
      <c r="BZ19" s="249"/>
    </row>
    <row r="20" spans="1:77" ht="39.75" customHeight="1">
      <c r="A20" s="251" t="s">
        <v>145</v>
      </c>
      <c r="B20" s="30">
        <f>J20+Z20+AT20+BJ20</f>
        <v>378.6</v>
      </c>
      <c r="C20" s="31">
        <f>K20+AA20+AU20+BK20</f>
        <v>145</v>
      </c>
      <c r="D20" s="33">
        <f t="shared" si="0"/>
        <v>-233.60000000000002</v>
      </c>
      <c r="E20" s="219">
        <f t="shared" si="1"/>
        <v>38.298996302165875</v>
      </c>
      <c r="F20" s="34">
        <f t="shared" si="2"/>
        <v>168.6</v>
      </c>
      <c r="G20" s="35">
        <f t="shared" si="2"/>
        <v>85</v>
      </c>
      <c r="H20" s="35">
        <f t="shared" si="3"/>
        <v>-83.6</v>
      </c>
      <c r="I20" s="36">
        <f>G20/F20%</f>
        <v>50.41518386714117</v>
      </c>
      <c r="J20" s="37">
        <f t="shared" si="41"/>
        <v>68.6</v>
      </c>
      <c r="K20" s="38">
        <f t="shared" si="42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219">
        <f t="shared" si="8"/>
        <v>277.77777777777777</v>
      </c>
      <c r="R20" s="31">
        <v>30</v>
      </c>
      <c r="S20" s="31">
        <v>25</v>
      </c>
      <c r="T20" s="32">
        <f t="shared" si="25"/>
        <v>-5</v>
      </c>
      <c r="U20" s="7">
        <f t="shared" si="43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7"/>
        <v>100</v>
      </c>
      <c r="AA20" s="38">
        <f t="shared" si="26"/>
        <v>40</v>
      </c>
      <c r="AB20" s="38">
        <f t="shared" si="27"/>
        <v>-60</v>
      </c>
      <c r="AC20" s="38">
        <f>AA20/Z20%</f>
        <v>40</v>
      </c>
      <c r="AD20" s="31">
        <v>30</v>
      </c>
      <c r="AE20" s="31">
        <v>30</v>
      </c>
      <c r="AF20" s="32">
        <f t="shared" si="28"/>
        <v>0</v>
      </c>
      <c r="AG20" s="32">
        <f>AE20/AD20%</f>
        <v>100</v>
      </c>
      <c r="AH20" s="31">
        <v>35</v>
      </c>
      <c r="AI20" s="31">
        <v>10</v>
      </c>
      <c r="AJ20" s="32">
        <f t="shared" si="11"/>
        <v>-25</v>
      </c>
      <c r="AK20" s="32">
        <f t="shared" si="39"/>
        <v>28.571428571428573</v>
      </c>
      <c r="AL20" s="31">
        <v>35</v>
      </c>
      <c r="AM20" s="31">
        <v>0</v>
      </c>
      <c r="AN20" s="32">
        <f t="shared" si="12"/>
        <v>-35</v>
      </c>
      <c r="AO20" s="32">
        <f t="shared" si="13"/>
        <v>0</v>
      </c>
      <c r="AP20" s="40">
        <f t="shared" si="44"/>
        <v>273.6</v>
      </c>
      <c r="AQ20" s="41">
        <f t="shared" si="30"/>
        <v>145</v>
      </c>
      <c r="AR20" s="41">
        <f t="shared" si="14"/>
        <v>-128.60000000000002</v>
      </c>
      <c r="AS20" s="42">
        <f>AQ20/AP20%</f>
        <v>52.997076023391806</v>
      </c>
      <c r="AT20" s="37">
        <f t="shared" si="50"/>
        <v>105</v>
      </c>
      <c r="AU20" s="38">
        <f t="shared" si="45"/>
        <v>60</v>
      </c>
      <c r="AV20" s="38">
        <f t="shared" si="40"/>
        <v>-45</v>
      </c>
      <c r="AW20" s="43">
        <f>AU20/AT20%</f>
        <v>57.14285714285714</v>
      </c>
      <c r="AX20" s="30">
        <v>35</v>
      </c>
      <c r="AY20" s="31">
        <v>25</v>
      </c>
      <c r="AZ20" s="32">
        <f t="shared" si="46"/>
        <v>-10</v>
      </c>
      <c r="BA20" s="44">
        <f t="shared" si="47"/>
        <v>71.42857142857143</v>
      </c>
      <c r="BB20" s="30">
        <v>35</v>
      </c>
      <c r="BC20" s="31">
        <v>25</v>
      </c>
      <c r="BD20" s="32">
        <f t="shared" si="16"/>
        <v>-10</v>
      </c>
      <c r="BE20" s="28">
        <f>BC20/BB20%</f>
        <v>71.42857142857143</v>
      </c>
      <c r="BF20" s="39">
        <v>35</v>
      </c>
      <c r="BG20" s="31">
        <v>10</v>
      </c>
      <c r="BH20" s="32">
        <f t="shared" si="18"/>
        <v>-25</v>
      </c>
      <c r="BI20" s="28">
        <f t="shared" si="48"/>
        <v>28.571428571428573</v>
      </c>
      <c r="BJ20" s="45">
        <f t="shared" si="32"/>
        <v>105</v>
      </c>
      <c r="BK20" s="38">
        <f t="shared" si="33"/>
        <v>0</v>
      </c>
      <c r="BL20" s="38">
        <f t="shared" si="34"/>
        <v>-105</v>
      </c>
      <c r="BM20" s="43">
        <f>BK20/BJ20%</f>
        <v>0</v>
      </c>
      <c r="BN20" s="30">
        <v>35</v>
      </c>
      <c r="BO20" s="31"/>
      <c r="BP20" s="32">
        <f t="shared" si="19"/>
        <v>-35</v>
      </c>
      <c r="BQ20" s="237">
        <f t="shared" si="49"/>
        <v>0</v>
      </c>
      <c r="BR20" s="31">
        <v>35</v>
      </c>
      <c r="BS20" s="31"/>
      <c r="BT20" s="32">
        <f t="shared" si="20"/>
        <v>-35</v>
      </c>
      <c r="BU20" s="32" t="s">
        <v>27</v>
      </c>
      <c r="BV20" s="39">
        <v>35</v>
      </c>
      <c r="BW20" s="31"/>
      <c r="BX20" s="32">
        <f t="shared" si="22"/>
        <v>-35</v>
      </c>
      <c r="BY20" s="32">
        <f t="shared" si="23"/>
        <v>0</v>
      </c>
    </row>
    <row r="21" spans="1:77" ht="15.75" customHeight="1" hidden="1">
      <c r="A21" s="252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19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1"/>
        <v>0</v>
      </c>
      <c r="K21" s="496">
        <f t="shared" si="42"/>
        <v>0</v>
      </c>
      <c r="L21" s="496">
        <f t="shared" si="5"/>
        <v>0</v>
      </c>
      <c r="M21" s="497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5"/>
        <v>0</v>
      </c>
      <c r="U21" s="7" t="e">
        <f t="shared" si="43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496">
        <f t="shared" si="37"/>
        <v>0</v>
      </c>
      <c r="AA21" s="496">
        <f t="shared" si="26"/>
        <v>0</v>
      </c>
      <c r="AB21" s="496">
        <f t="shared" si="27"/>
        <v>0</v>
      </c>
      <c r="AC21" s="496"/>
      <c r="AD21" s="23">
        <f>SUM(AD22:AD23)</f>
        <v>0</v>
      </c>
      <c r="AE21" s="23">
        <f>SUM(AE22:AE23)</f>
        <v>0</v>
      </c>
      <c r="AF21" s="32">
        <f t="shared" si="28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39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4"/>
        <v>0</v>
      </c>
      <c r="AQ21" s="15">
        <f t="shared" si="30"/>
        <v>0</v>
      </c>
      <c r="AR21" s="15">
        <f t="shared" si="14"/>
        <v>0</v>
      </c>
      <c r="AS21" s="16"/>
      <c r="AT21" s="37">
        <f t="shared" si="50"/>
        <v>0</v>
      </c>
      <c r="AU21" s="26">
        <f>AY21+BC21+BG21</f>
        <v>0</v>
      </c>
      <c r="AV21" s="496">
        <f t="shared" si="40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6"/>
        <v>0</v>
      </c>
      <c r="BA21" s="44" t="e">
        <f t="shared" si="47"/>
        <v>#DIV/0!</v>
      </c>
      <c r="BB21" s="22">
        <f>SUM(BB22:BB23)</f>
        <v>0</v>
      </c>
      <c r="BC21" s="23">
        <f>SUM(BC22:BC23)</f>
        <v>0</v>
      </c>
      <c r="BD21" s="7">
        <f t="shared" si="16"/>
        <v>0</v>
      </c>
      <c r="BE21" s="28"/>
      <c r="BF21" s="25">
        <f>SUM(BF22:BF23)</f>
        <v>0</v>
      </c>
      <c r="BG21" s="23">
        <f>SUM(BG22:BG23)</f>
        <v>0</v>
      </c>
      <c r="BH21" s="7">
        <f t="shared" si="18"/>
        <v>0</v>
      </c>
      <c r="BI21" s="28"/>
      <c r="BJ21" s="26">
        <f t="shared" si="32"/>
        <v>0</v>
      </c>
      <c r="BK21" s="496">
        <f t="shared" si="33"/>
        <v>0</v>
      </c>
      <c r="BL21" s="496">
        <f t="shared" si="34"/>
        <v>0</v>
      </c>
      <c r="BM21" s="497"/>
      <c r="BN21" s="22">
        <f>SUM(BN22:BN23)</f>
        <v>0</v>
      </c>
      <c r="BO21" s="23">
        <f>SUM(BO22:BO23)</f>
        <v>0</v>
      </c>
      <c r="BP21" s="7">
        <f t="shared" si="19"/>
        <v>0</v>
      </c>
      <c r="BQ21" s="44"/>
      <c r="BR21" s="23">
        <f>SUM(BR22:BR23)</f>
        <v>0</v>
      </c>
      <c r="BS21" s="23">
        <f>SUM(BS22:BS23)</f>
        <v>0</v>
      </c>
      <c r="BT21" s="7">
        <f t="shared" si="20"/>
        <v>0</v>
      </c>
      <c r="BU21" s="32"/>
      <c r="BV21" s="25">
        <f>SUM(BV22:BV23)</f>
        <v>0</v>
      </c>
      <c r="BW21" s="23">
        <f>SUM(BW22:BW23)</f>
        <v>0</v>
      </c>
      <c r="BX21" s="7">
        <f t="shared" si="22"/>
        <v>0</v>
      </c>
      <c r="BY21" s="32"/>
    </row>
    <row r="22" spans="1:77" ht="15.75" customHeight="1" hidden="1">
      <c r="A22" s="251" t="s">
        <v>31</v>
      </c>
      <c r="B22" s="30"/>
      <c r="C22" s="31"/>
      <c r="D22" s="33">
        <f t="shared" si="0"/>
        <v>0</v>
      </c>
      <c r="E22" s="219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1"/>
        <v>0</v>
      </c>
      <c r="K22" s="38">
        <f t="shared" si="42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5"/>
        <v>0</v>
      </c>
      <c r="U22" s="7" t="e">
        <f t="shared" si="43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7"/>
        <v>0</v>
      </c>
      <c r="AA22" s="38">
        <f t="shared" si="26"/>
        <v>0</v>
      </c>
      <c r="AB22" s="38">
        <f t="shared" si="27"/>
        <v>0</v>
      </c>
      <c r="AC22" s="38"/>
      <c r="AD22" s="31"/>
      <c r="AE22" s="31"/>
      <c r="AF22" s="32">
        <f t="shared" si="28"/>
        <v>0</v>
      </c>
      <c r="AG22" s="32"/>
      <c r="AH22" s="31"/>
      <c r="AI22" s="31"/>
      <c r="AJ22" s="7">
        <f t="shared" si="11"/>
        <v>0</v>
      </c>
      <c r="AK22" s="7" t="e">
        <f t="shared" si="39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4"/>
        <v>0</v>
      </c>
      <c r="AQ22" s="41">
        <f t="shared" si="30"/>
        <v>0</v>
      </c>
      <c r="AR22" s="41">
        <f t="shared" si="14"/>
        <v>0</v>
      </c>
      <c r="AS22" s="42"/>
      <c r="AT22" s="37">
        <f t="shared" si="50"/>
        <v>0</v>
      </c>
      <c r="AU22" s="38">
        <f>SUM(AY22+BC22+BG22)</f>
        <v>0</v>
      </c>
      <c r="AV22" s="38">
        <f t="shared" si="40"/>
        <v>0</v>
      </c>
      <c r="AW22" s="43"/>
      <c r="AX22" s="30"/>
      <c r="AY22" s="31"/>
      <c r="AZ22" s="32">
        <f t="shared" si="46"/>
        <v>0</v>
      </c>
      <c r="BA22" s="44" t="e">
        <f t="shared" si="47"/>
        <v>#DIV/0!</v>
      </c>
      <c r="BB22" s="30"/>
      <c r="BC22" s="31">
        <v>0</v>
      </c>
      <c r="BD22" s="32">
        <f t="shared" si="16"/>
        <v>0</v>
      </c>
      <c r="BE22" s="28"/>
      <c r="BF22" s="39"/>
      <c r="BG22" s="31"/>
      <c r="BH22" s="32">
        <f t="shared" si="18"/>
        <v>0</v>
      </c>
      <c r="BI22" s="28" t="e">
        <f>BG22/BF22%</f>
        <v>#DIV/0!</v>
      </c>
      <c r="BJ22" s="45">
        <f t="shared" si="32"/>
        <v>0</v>
      </c>
      <c r="BK22" s="38">
        <f t="shared" si="33"/>
        <v>0</v>
      </c>
      <c r="BL22" s="38">
        <f t="shared" si="34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53" t="s">
        <v>32</v>
      </c>
      <c r="B23" s="30"/>
      <c r="C23" s="31"/>
      <c r="D23" s="33">
        <f t="shared" si="0"/>
        <v>0</v>
      </c>
      <c r="E23" s="219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1"/>
        <v>0</v>
      </c>
      <c r="K23" s="38">
        <f t="shared" si="42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5"/>
        <v>0</v>
      </c>
      <c r="U23" s="7" t="e">
        <f t="shared" si="43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7"/>
        <v>0</v>
      </c>
      <c r="AA23" s="38">
        <f t="shared" si="26"/>
        <v>0</v>
      </c>
      <c r="AB23" s="38">
        <f t="shared" si="27"/>
        <v>0</v>
      </c>
      <c r="AC23" s="38"/>
      <c r="AD23" s="31"/>
      <c r="AE23" s="31"/>
      <c r="AF23" s="32">
        <f t="shared" si="28"/>
        <v>0</v>
      </c>
      <c r="AG23" s="32"/>
      <c r="AH23" s="31"/>
      <c r="AI23" s="31"/>
      <c r="AJ23" s="7">
        <f t="shared" si="11"/>
        <v>0</v>
      </c>
      <c r="AK23" s="7" t="e">
        <f t="shared" si="39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4"/>
        <v>0</v>
      </c>
      <c r="AQ23" s="41">
        <f t="shared" si="30"/>
        <v>0</v>
      </c>
      <c r="AR23" s="41">
        <f t="shared" si="14"/>
        <v>0</v>
      </c>
      <c r="AS23" s="42"/>
      <c r="AT23" s="37">
        <f t="shared" si="50"/>
        <v>0</v>
      </c>
      <c r="AU23" s="38">
        <f>SUM(AY23+BC23+BG23)</f>
        <v>0</v>
      </c>
      <c r="AV23" s="38">
        <f t="shared" si="40"/>
        <v>0</v>
      </c>
      <c r="AW23" s="43"/>
      <c r="AX23" s="30"/>
      <c r="AY23" s="31"/>
      <c r="AZ23" s="32">
        <f t="shared" si="46"/>
        <v>0</v>
      </c>
      <c r="BA23" s="44" t="e">
        <f t="shared" si="47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2"/>
        <v>0</v>
      </c>
      <c r="BK23" s="38">
        <f t="shared" si="33"/>
        <v>0</v>
      </c>
      <c r="BL23" s="38">
        <f t="shared" si="34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52" t="s">
        <v>33</v>
      </c>
      <c r="B24" s="22">
        <f>B25+B27+B28+B29+B30+B26</f>
        <v>26811.099999999995</v>
      </c>
      <c r="C24" s="23">
        <f>C25+C27+C28+C29+C30+C26</f>
        <v>17253.2</v>
      </c>
      <c r="D24" s="8">
        <f t="shared" si="0"/>
        <v>-9557.899999999994</v>
      </c>
      <c r="E24" s="20">
        <f t="shared" si="1"/>
        <v>64.3509591176789</v>
      </c>
      <c r="F24" s="9">
        <f t="shared" si="2"/>
        <v>11904.9</v>
      </c>
      <c r="G24" s="10">
        <f t="shared" si="2"/>
        <v>11261.3</v>
      </c>
      <c r="H24" s="10">
        <f t="shared" si="3"/>
        <v>-643.6000000000004</v>
      </c>
      <c r="I24" s="11">
        <f>G24/F24%</f>
        <v>94.59382271165654</v>
      </c>
      <c r="J24" s="24">
        <f t="shared" si="41"/>
        <v>5214.6</v>
      </c>
      <c r="K24" s="496">
        <f>SUM(O24+S24+W24)</f>
        <v>5055</v>
      </c>
      <c r="L24" s="496">
        <f t="shared" si="5"/>
        <v>-159.60000000000036</v>
      </c>
      <c r="M24" s="497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1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5"/>
        <v>-165.29999999999995</v>
      </c>
      <c r="U24" s="7">
        <f t="shared" si="43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496">
        <f t="shared" si="37"/>
        <v>6690.299999999999</v>
      </c>
      <c r="AA24" s="496">
        <f t="shared" si="26"/>
        <v>6206.299999999999</v>
      </c>
      <c r="AB24" s="496">
        <f t="shared" si="27"/>
        <v>-484</v>
      </c>
      <c r="AC24" s="496">
        <f>AA24/Z24%</f>
        <v>92.76564578568973</v>
      </c>
      <c r="AD24" s="23">
        <f>AD25+AD27+AD28+AD29+AD30</f>
        <v>2050.1</v>
      </c>
      <c r="AE24" s="23">
        <f>AE25+AE27+AE28+AE29+AE30</f>
        <v>2628.6</v>
      </c>
      <c r="AF24" s="7">
        <f t="shared" si="28"/>
        <v>578.5</v>
      </c>
      <c r="AG24" s="7">
        <f aca="true" t="shared" si="52" ref="AG24:AG36">AE24/AD24%</f>
        <v>128.21813570069753</v>
      </c>
      <c r="AH24" s="23">
        <f>AH25+AH27+AH28+AH29+AH30</f>
        <v>2100.1</v>
      </c>
      <c r="AI24" s="23">
        <f>AI25+AI27+AI28+AI29+AI30</f>
        <v>1330.4999999999998</v>
      </c>
      <c r="AJ24" s="7">
        <f t="shared" si="11"/>
        <v>-769.6000000000001</v>
      </c>
      <c r="AK24" s="7">
        <f t="shared" si="39"/>
        <v>63.354125994000285</v>
      </c>
      <c r="AL24" s="23">
        <f>AL25+AL27+AL28+AL29+AL30</f>
        <v>2540.1</v>
      </c>
      <c r="AM24" s="23">
        <f>AM25+AM27+AM28+AM29+AM30</f>
        <v>2247.2</v>
      </c>
      <c r="AN24" s="7">
        <f t="shared" si="12"/>
        <v>-292.9000000000001</v>
      </c>
      <c r="AO24" s="7">
        <f t="shared" si="13"/>
        <v>88.46895791504271</v>
      </c>
      <c r="AP24" s="14">
        <f t="shared" si="44"/>
        <v>18755.199999999997</v>
      </c>
      <c r="AQ24" s="15">
        <f t="shared" si="44"/>
        <v>17253.199999999997</v>
      </c>
      <c r="AR24" s="15">
        <f t="shared" si="14"/>
        <v>-1502</v>
      </c>
      <c r="AS24" s="16">
        <f>AQ24/AP24%</f>
        <v>91.99155434226242</v>
      </c>
      <c r="AT24" s="24">
        <f t="shared" si="50"/>
        <v>6850.299999999999</v>
      </c>
      <c r="AU24" s="496">
        <f>SUM(AY24+BC24+BG24)</f>
        <v>5991.9</v>
      </c>
      <c r="AV24" s="496">
        <f t="shared" si="40"/>
        <v>-858.3999999999996</v>
      </c>
      <c r="AW24" s="17">
        <f>AU24/AT24%</f>
        <v>87.46916193451383</v>
      </c>
      <c r="AX24" s="22">
        <f>AX25+AX27+AX28+AX29+AX30</f>
        <v>2100.1</v>
      </c>
      <c r="AY24" s="23">
        <f>AY25+AY27+AY28+AY29+AY30</f>
        <v>2962.7</v>
      </c>
      <c r="AZ24" s="7">
        <f t="shared" si="46"/>
        <v>862.5999999999999</v>
      </c>
      <c r="BA24" s="19">
        <f t="shared" si="47"/>
        <v>141.07423456025904</v>
      </c>
      <c r="BB24" s="22">
        <f>BB25+BB27+BB28+BB29+BB30</f>
        <v>2150.1</v>
      </c>
      <c r="BC24" s="23">
        <f>BC25+BC27+BC28+BC29+BC30</f>
        <v>1141.6</v>
      </c>
      <c r="BD24" s="7">
        <f>BC24-BB24</f>
        <v>-1008.5</v>
      </c>
      <c r="BE24" s="18">
        <f>BC24/BB24%</f>
        <v>53.0952048741919</v>
      </c>
      <c r="BF24" s="25">
        <f>BF25+BF27+BF28+BF29+BF30</f>
        <v>2600.1</v>
      </c>
      <c r="BG24" s="25">
        <f>BG25+BG27+BG28+BG29+BG30</f>
        <v>1887.6000000000001</v>
      </c>
      <c r="BH24" s="7">
        <f>BG24-BF24</f>
        <v>-712.4999999999998</v>
      </c>
      <c r="BI24" s="18">
        <f>BG24/BF24%</f>
        <v>72.59720779970003</v>
      </c>
      <c r="BJ24" s="26">
        <f t="shared" si="32"/>
        <v>8055.9</v>
      </c>
      <c r="BK24" s="496">
        <f t="shared" si="33"/>
        <v>0</v>
      </c>
      <c r="BL24" s="496">
        <f t="shared" si="34"/>
        <v>-8055.9</v>
      </c>
      <c r="BM24" s="497">
        <f>BK24/BJ24%</f>
        <v>0</v>
      </c>
      <c r="BN24" s="25">
        <f>BN25+BN27+BN28+BN29+BN30</f>
        <v>2160.1</v>
      </c>
      <c r="BO24" s="25">
        <f>BO25+BO27+BO28+BO29+BO30+BO26</f>
        <v>0</v>
      </c>
      <c r="BP24" s="7">
        <f>BO24-BN24</f>
        <v>-2160.1</v>
      </c>
      <c r="BQ24" s="19">
        <f>BO24/BN24%</f>
        <v>0</v>
      </c>
      <c r="BR24" s="23">
        <f>BR25+BR27+BR28+BR29+BR30+BR26</f>
        <v>2260.1</v>
      </c>
      <c r="BS24" s="23">
        <f>BS25+BS27+BS28+BS29+BS30+BS26</f>
        <v>0</v>
      </c>
      <c r="BT24" s="7">
        <f>BS24-BR24</f>
        <v>-2260.1</v>
      </c>
      <c r="BU24" s="7">
        <f>BS24/BR24%</f>
        <v>0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</row>
    <row r="25" spans="1:77" ht="15.75" customHeight="1" hidden="1">
      <c r="A25" s="254" t="s">
        <v>34</v>
      </c>
      <c r="B25" s="51"/>
      <c r="C25" s="52"/>
      <c r="D25" s="33">
        <f t="shared" si="0"/>
        <v>0</v>
      </c>
      <c r="E25" s="219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1"/>
        <v>0</v>
      </c>
      <c r="K25" s="38">
        <f t="shared" si="42"/>
        <v>0</v>
      </c>
      <c r="L25" s="38">
        <f t="shared" si="5"/>
        <v>0</v>
      </c>
      <c r="M25" s="43"/>
      <c r="N25" s="53"/>
      <c r="O25" s="52"/>
      <c r="P25" s="7">
        <f t="shared" si="51"/>
        <v>0</v>
      </c>
      <c r="Q25" s="7"/>
      <c r="R25" s="52"/>
      <c r="S25" s="52"/>
      <c r="T25" s="32">
        <f t="shared" si="25"/>
        <v>0</v>
      </c>
      <c r="U25" s="7" t="e">
        <f t="shared" si="43"/>
        <v>#DIV/0!</v>
      </c>
      <c r="V25" s="52"/>
      <c r="W25" s="52"/>
      <c r="X25" s="32">
        <f t="shared" si="9"/>
        <v>0</v>
      </c>
      <c r="Y25" s="32" t="e">
        <f t="shared" si="10"/>
        <v>#DIV/0!</v>
      </c>
      <c r="Z25" s="38">
        <f t="shared" si="37"/>
        <v>0</v>
      </c>
      <c r="AA25" s="38">
        <f t="shared" si="26"/>
        <v>0</v>
      </c>
      <c r="AB25" s="38">
        <f t="shared" si="27"/>
        <v>0</v>
      </c>
      <c r="AC25" s="38"/>
      <c r="AD25" s="52"/>
      <c r="AE25" s="52"/>
      <c r="AF25" s="7">
        <f t="shared" si="28"/>
        <v>0</v>
      </c>
      <c r="AG25" s="7" t="e">
        <f t="shared" si="52"/>
        <v>#DIV/0!</v>
      </c>
      <c r="AH25" s="52"/>
      <c r="AI25" s="52"/>
      <c r="AJ25" s="7">
        <f t="shared" si="11"/>
        <v>0</v>
      </c>
      <c r="AK25" s="7" t="e">
        <f t="shared" si="39"/>
        <v>#DIV/0!</v>
      </c>
      <c r="AL25" s="52"/>
      <c r="AM25" s="52"/>
      <c r="AN25" s="32">
        <f t="shared" si="12"/>
        <v>0</v>
      </c>
      <c r="AO25" s="32" t="e">
        <f t="shared" si="13"/>
        <v>#DIV/0!</v>
      </c>
      <c r="AP25" s="14">
        <f t="shared" si="44"/>
        <v>0</v>
      </c>
      <c r="AQ25" s="41">
        <f t="shared" si="44"/>
        <v>0</v>
      </c>
      <c r="AR25" s="41">
        <f t="shared" si="14"/>
        <v>0</v>
      </c>
      <c r="AS25" s="42"/>
      <c r="AT25" s="37">
        <f t="shared" si="50"/>
        <v>0</v>
      </c>
      <c r="AU25" s="38">
        <f>SUM(AY25+BC25+BG25)</f>
        <v>0</v>
      </c>
      <c r="AV25" s="38">
        <f t="shared" si="40"/>
        <v>0</v>
      </c>
      <c r="AW25" s="43"/>
      <c r="AX25" s="51"/>
      <c r="AY25" s="52"/>
      <c r="AZ25" s="32">
        <f t="shared" si="46"/>
        <v>0</v>
      </c>
      <c r="BA25" s="44" t="e">
        <f t="shared" si="47"/>
        <v>#DIV/0!</v>
      </c>
      <c r="BB25" s="51"/>
      <c r="BC25" s="52"/>
      <c r="BD25" s="32"/>
      <c r="BE25" s="28"/>
      <c r="BF25" s="53"/>
      <c r="BG25" s="52"/>
      <c r="BH25" s="32"/>
      <c r="BI25" s="18"/>
      <c r="BJ25" s="26">
        <f t="shared" si="32"/>
        <v>0</v>
      </c>
      <c r="BK25" s="38">
        <f t="shared" si="33"/>
        <v>0</v>
      </c>
      <c r="BL25" s="38">
        <f t="shared" si="34"/>
        <v>0</v>
      </c>
      <c r="BM25" s="43"/>
      <c r="BN25" s="51"/>
      <c r="BO25" s="52"/>
      <c r="BP25" s="32"/>
      <c r="BQ25" s="44"/>
      <c r="BR25" s="52"/>
      <c r="BS25" s="52"/>
      <c r="BT25" s="32"/>
      <c r="BU25" s="7"/>
      <c r="BV25" s="53"/>
      <c r="BW25" s="52"/>
      <c r="BX25" s="32"/>
      <c r="BY25" s="7" t="e">
        <f>BW25/BV25%</f>
        <v>#DIV/0!</v>
      </c>
    </row>
    <row r="26" spans="1:77" ht="37.5" customHeight="1">
      <c r="A26" s="254" t="s">
        <v>115</v>
      </c>
      <c r="B26" s="30">
        <f aca="true" t="shared" si="53" ref="B26:C30">J26+Z26+AT26+BJ26</f>
        <v>0</v>
      </c>
      <c r="C26" s="31">
        <f t="shared" si="53"/>
        <v>0</v>
      </c>
      <c r="D26" s="33"/>
      <c r="E26" s="219"/>
      <c r="F26" s="34"/>
      <c r="G26" s="35"/>
      <c r="H26" s="35"/>
      <c r="I26" s="36"/>
      <c r="J26" s="37"/>
      <c r="K26" s="38"/>
      <c r="L26" s="38"/>
      <c r="M26" s="43"/>
      <c r="N26" s="53"/>
      <c r="O26" s="52"/>
      <c r="P26" s="7"/>
      <c r="Q26" s="7"/>
      <c r="R26" s="52"/>
      <c r="S26" s="52"/>
      <c r="T26" s="32"/>
      <c r="U26" s="7"/>
      <c r="V26" s="52"/>
      <c r="W26" s="52"/>
      <c r="X26" s="32"/>
      <c r="Y26" s="32"/>
      <c r="Z26" s="38"/>
      <c r="AA26" s="38"/>
      <c r="AB26" s="38"/>
      <c r="AC26" s="38"/>
      <c r="AD26" s="52"/>
      <c r="AE26" s="52"/>
      <c r="AF26" s="7"/>
      <c r="AG26" s="7"/>
      <c r="AH26" s="52"/>
      <c r="AI26" s="52"/>
      <c r="AJ26" s="7"/>
      <c r="AK26" s="7"/>
      <c r="AL26" s="52"/>
      <c r="AM26" s="52"/>
      <c r="AN26" s="32"/>
      <c r="AO26" s="32"/>
      <c r="AP26" s="40">
        <f t="shared" si="44"/>
        <v>0</v>
      </c>
      <c r="AQ26" s="41"/>
      <c r="AR26" s="41"/>
      <c r="AS26" s="42"/>
      <c r="AT26" s="37">
        <f t="shared" si="50"/>
        <v>0</v>
      </c>
      <c r="AU26" s="38"/>
      <c r="AV26" s="38"/>
      <c r="AW26" s="43"/>
      <c r="AX26" s="51"/>
      <c r="AY26" s="52"/>
      <c r="AZ26" s="32">
        <f t="shared" si="46"/>
        <v>0</v>
      </c>
      <c r="BA26" s="44"/>
      <c r="BB26" s="51"/>
      <c r="BC26" s="52"/>
      <c r="BD26" s="32"/>
      <c r="BE26" s="28"/>
      <c r="BF26" s="53"/>
      <c r="BG26" s="52"/>
      <c r="BH26" s="32"/>
      <c r="BI26" s="18"/>
      <c r="BJ26" s="45">
        <f t="shared" si="32"/>
        <v>0</v>
      </c>
      <c r="BK26" s="38">
        <f t="shared" si="33"/>
        <v>0</v>
      </c>
      <c r="BL26" s="38"/>
      <c r="BM26" s="43"/>
      <c r="BN26" s="372"/>
      <c r="BO26" s="52"/>
      <c r="BP26" s="32"/>
      <c r="BQ26" s="44"/>
      <c r="BR26" s="373"/>
      <c r="BS26" s="52"/>
      <c r="BT26" s="32">
        <f>BS26-BR26</f>
        <v>0</v>
      </c>
      <c r="BU26" s="32" t="e">
        <f>BS26/BR26%</f>
        <v>#DIV/0!</v>
      </c>
      <c r="BV26" s="53"/>
      <c r="BW26" s="52"/>
      <c r="BX26" s="32"/>
      <c r="BY26" s="7"/>
    </row>
    <row r="27" spans="1:77" s="55" customFormat="1" ht="23.25" customHeight="1">
      <c r="A27" s="254" t="s">
        <v>35</v>
      </c>
      <c r="B27" s="30">
        <f t="shared" si="53"/>
        <v>19525.799999999996</v>
      </c>
      <c r="C27" s="31">
        <f t="shared" si="53"/>
        <v>12296.099999999999</v>
      </c>
      <c r="D27" s="54">
        <f t="shared" si="0"/>
        <v>-7229.699999999997</v>
      </c>
      <c r="E27" s="219">
        <f t="shared" si="1"/>
        <v>62.97360415450328</v>
      </c>
      <c r="F27" s="34">
        <f t="shared" si="2"/>
        <v>8220.599999999999</v>
      </c>
      <c r="G27" s="35">
        <f t="shared" si="2"/>
        <v>7671.199999999999</v>
      </c>
      <c r="H27" s="35">
        <f t="shared" si="3"/>
        <v>-549.3999999999996</v>
      </c>
      <c r="I27" s="36">
        <f aca="true" t="shared" si="54" ref="I27:I34">G27/F27%</f>
        <v>93.31678952874486</v>
      </c>
      <c r="J27" s="37">
        <f t="shared" si="41"/>
        <v>3330.2999999999997</v>
      </c>
      <c r="K27" s="38">
        <f t="shared" si="42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1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5"/>
        <v>-348.4999999999999</v>
      </c>
      <c r="U27" s="7">
        <f t="shared" si="43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7"/>
        <v>4890.299999999999</v>
      </c>
      <c r="AA27" s="38">
        <f t="shared" si="26"/>
        <v>4151.799999999999</v>
      </c>
      <c r="AB27" s="38">
        <f t="shared" si="27"/>
        <v>-738.5</v>
      </c>
      <c r="AC27" s="38">
        <f>AA27/Z27%</f>
        <v>84.89867697278285</v>
      </c>
      <c r="AD27" s="31">
        <v>1450.1</v>
      </c>
      <c r="AE27" s="31">
        <v>1690.7</v>
      </c>
      <c r="AF27" s="32">
        <f t="shared" si="28"/>
        <v>240.60000000000014</v>
      </c>
      <c r="AG27" s="32">
        <f t="shared" si="52"/>
        <v>116.5919591752293</v>
      </c>
      <c r="AH27" s="31">
        <v>1500.1</v>
      </c>
      <c r="AI27" s="31">
        <v>1029.5</v>
      </c>
      <c r="AJ27" s="32">
        <f t="shared" si="11"/>
        <v>-470.5999999999999</v>
      </c>
      <c r="AK27" s="32">
        <f t="shared" si="39"/>
        <v>68.62875808279448</v>
      </c>
      <c r="AL27" s="31">
        <v>1940.1</v>
      </c>
      <c r="AM27" s="31">
        <v>1431.6</v>
      </c>
      <c r="AN27" s="32">
        <f t="shared" si="12"/>
        <v>-508.5</v>
      </c>
      <c r="AO27" s="32">
        <f t="shared" si="13"/>
        <v>73.79001082418432</v>
      </c>
      <c r="AP27" s="40">
        <f t="shared" si="44"/>
        <v>13270.899999999998</v>
      </c>
      <c r="AQ27" s="41">
        <f t="shared" si="44"/>
        <v>12296.099999999999</v>
      </c>
      <c r="AR27" s="41">
        <f t="shared" si="14"/>
        <v>-974.7999999999993</v>
      </c>
      <c r="AS27" s="42">
        <f aca="true" t="shared" si="55" ref="AS27:AS38">AQ27/AP27%</f>
        <v>92.65460518879655</v>
      </c>
      <c r="AT27" s="37">
        <f t="shared" si="50"/>
        <v>5050.299999999999</v>
      </c>
      <c r="AU27" s="38">
        <f>SUM(AY27+BC27+BG27)</f>
        <v>4624.9</v>
      </c>
      <c r="AV27" s="38">
        <f t="shared" si="40"/>
        <v>-425.39999999999964</v>
      </c>
      <c r="AW27" s="43">
        <f>AU27/AT27%</f>
        <v>91.57673801556344</v>
      </c>
      <c r="AX27" s="30">
        <v>1500.1</v>
      </c>
      <c r="AY27" s="31">
        <v>2389.2</v>
      </c>
      <c r="AZ27" s="32">
        <f t="shared" si="46"/>
        <v>889.0999999999999</v>
      </c>
      <c r="BA27" s="44" t="s">
        <v>27</v>
      </c>
      <c r="BB27" s="30">
        <v>1550.1</v>
      </c>
      <c r="BC27" s="31">
        <v>551.3</v>
      </c>
      <c r="BD27" s="32">
        <f>BC27-BB27</f>
        <v>-998.8</v>
      </c>
      <c r="BE27" s="28">
        <f>BC27/BB27%</f>
        <v>35.56544739049093</v>
      </c>
      <c r="BF27" s="39">
        <v>2000.1</v>
      </c>
      <c r="BG27" s="31">
        <v>1684.4</v>
      </c>
      <c r="BH27" s="32">
        <f>BG27-BF27</f>
        <v>-315.6999999999998</v>
      </c>
      <c r="BI27" s="28">
        <f>BG27/BF27%</f>
        <v>84.21578921053948</v>
      </c>
      <c r="BJ27" s="45">
        <f t="shared" si="32"/>
        <v>6254.9</v>
      </c>
      <c r="BK27" s="38">
        <f t="shared" si="33"/>
        <v>0</v>
      </c>
      <c r="BL27" s="38">
        <f t="shared" si="34"/>
        <v>-6254.9</v>
      </c>
      <c r="BM27" s="43">
        <f>BK27/BJ27%</f>
        <v>0</v>
      </c>
      <c r="BN27" s="30">
        <v>1560.1</v>
      </c>
      <c r="BO27" s="31"/>
      <c r="BP27" s="32">
        <f aca="true" t="shared" si="56" ref="BP27:BP39">BO27-BN27</f>
        <v>-1560.1</v>
      </c>
      <c r="BQ27" s="44">
        <f>BO27/BN27%</f>
        <v>0</v>
      </c>
      <c r="BR27" s="31">
        <v>1660.1</v>
      </c>
      <c r="BS27" s="31"/>
      <c r="BT27" s="32">
        <f>BS27-BR27</f>
        <v>-1660.1</v>
      </c>
      <c r="BU27" s="32">
        <f>BS27/BR27%</f>
        <v>0</v>
      </c>
      <c r="BV27" s="39">
        <v>3034.7</v>
      </c>
      <c r="BW27" s="31"/>
      <c r="BX27" s="32">
        <f aca="true" t="shared" si="57" ref="BX27:BX39">BW27-BV27</f>
        <v>-3034.7</v>
      </c>
      <c r="BY27" s="7">
        <f>BW27/BV27%</f>
        <v>0</v>
      </c>
    </row>
    <row r="28" spans="1:77" s="1" customFormat="1" ht="22.5" customHeight="1">
      <c r="A28" s="251" t="s">
        <v>36</v>
      </c>
      <c r="B28" s="30">
        <f t="shared" si="53"/>
        <v>6959.5</v>
      </c>
      <c r="C28" s="31">
        <f t="shared" si="53"/>
        <v>4379.4</v>
      </c>
      <c r="D28" s="32">
        <f t="shared" si="0"/>
        <v>-2580.1000000000004</v>
      </c>
      <c r="E28" s="219">
        <f t="shared" si="1"/>
        <v>62.92693440620734</v>
      </c>
      <c r="F28" s="34">
        <f t="shared" si="2"/>
        <v>3479.3999999999996</v>
      </c>
      <c r="G28" s="35">
        <f t="shared" si="2"/>
        <v>3144.5</v>
      </c>
      <c r="H28" s="35">
        <f t="shared" si="3"/>
        <v>-334.89999999999964</v>
      </c>
      <c r="I28" s="36">
        <f t="shared" si="54"/>
        <v>90.37477726044722</v>
      </c>
      <c r="J28" s="37">
        <f t="shared" si="41"/>
        <v>1739.6999999999998</v>
      </c>
      <c r="K28" s="38">
        <f t="shared" si="42"/>
        <v>1188.5</v>
      </c>
      <c r="L28" s="38">
        <f t="shared" si="5"/>
        <v>-551.1999999999998</v>
      </c>
      <c r="M28" s="43">
        <f>K28/J28%</f>
        <v>68.31637638673335</v>
      </c>
      <c r="N28" s="56">
        <v>579.9</v>
      </c>
      <c r="O28" s="57">
        <v>524.1</v>
      </c>
      <c r="P28" s="32">
        <f t="shared" si="51"/>
        <v>-55.799999999999955</v>
      </c>
      <c r="Q28" s="32">
        <f>O28/N28%</f>
        <v>90.37765131919298</v>
      </c>
      <c r="R28" s="57">
        <v>579.9</v>
      </c>
      <c r="S28" s="57">
        <v>529.6</v>
      </c>
      <c r="T28" s="32">
        <f t="shared" si="25"/>
        <v>-50.299999999999955</v>
      </c>
      <c r="U28" s="7">
        <f t="shared" si="43"/>
        <v>91.32609070529402</v>
      </c>
      <c r="V28" s="57">
        <v>579.9</v>
      </c>
      <c r="W28" s="57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7"/>
        <v>1739.6999999999998</v>
      </c>
      <c r="AA28" s="38">
        <f t="shared" si="26"/>
        <v>1956</v>
      </c>
      <c r="AB28" s="38">
        <f t="shared" si="27"/>
        <v>216.30000000000018</v>
      </c>
      <c r="AC28" s="38">
        <f>AA28/Z28%</f>
        <v>112.43317813416107</v>
      </c>
      <c r="AD28" s="57">
        <v>579.9</v>
      </c>
      <c r="AE28" s="57">
        <v>903.3</v>
      </c>
      <c r="AF28" s="32">
        <f t="shared" si="28"/>
        <v>323.4</v>
      </c>
      <c r="AG28" s="32" t="s">
        <v>27</v>
      </c>
      <c r="AH28" s="57">
        <v>579.9</v>
      </c>
      <c r="AI28" s="57">
        <v>237.6</v>
      </c>
      <c r="AJ28" s="32">
        <f t="shared" si="11"/>
        <v>-342.29999999999995</v>
      </c>
      <c r="AK28" s="32">
        <f t="shared" si="39"/>
        <v>40.97258147956544</v>
      </c>
      <c r="AL28" s="57">
        <v>579.9</v>
      </c>
      <c r="AM28" s="57">
        <v>815.1</v>
      </c>
      <c r="AN28" s="32">
        <f t="shared" si="12"/>
        <v>235.20000000000005</v>
      </c>
      <c r="AO28" s="32">
        <f t="shared" si="13"/>
        <v>140.55871702017592</v>
      </c>
      <c r="AP28" s="40">
        <f t="shared" si="44"/>
        <v>5219.099999999999</v>
      </c>
      <c r="AQ28" s="41">
        <f t="shared" si="44"/>
        <v>4379.4</v>
      </c>
      <c r="AR28" s="41">
        <f t="shared" si="14"/>
        <v>-839.6999999999998</v>
      </c>
      <c r="AS28" s="42">
        <f t="shared" si="55"/>
        <v>83.91101914123125</v>
      </c>
      <c r="AT28" s="37">
        <f t="shared" si="50"/>
        <v>1739.6999999999998</v>
      </c>
      <c r="AU28" s="38">
        <f>SUM(AY28+BC28+BG28)</f>
        <v>1234.8999999999999</v>
      </c>
      <c r="AV28" s="38">
        <f t="shared" si="40"/>
        <v>-504.79999999999995</v>
      </c>
      <c r="AW28" s="43">
        <f>AU28/AT28%</f>
        <v>70.98350290279933</v>
      </c>
      <c r="AX28" s="58">
        <v>579.9</v>
      </c>
      <c r="AY28" s="57">
        <v>526.3</v>
      </c>
      <c r="AZ28" s="32">
        <f t="shared" si="46"/>
        <v>-53.60000000000002</v>
      </c>
      <c r="BA28" s="44">
        <f t="shared" si="47"/>
        <v>90.75702707363338</v>
      </c>
      <c r="BB28" s="58">
        <v>579.9</v>
      </c>
      <c r="BC28" s="57">
        <v>514.4</v>
      </c>
      <c r="BD28" s="32">
        <f>BC28-BB28</f>
        <v>-65.5</v>
      </c>
      <c r="BE28" s="28">
        <f>BC28/BB28%</f>
        <v>88.7049491291602</v>
      </c>
      <c r="BF28" s="56">
        <v>579.9</v>
      </c>
      <c r="BG28" s="57">
        <v>194.2</v>
      </c>
      <c r="BH28" s="32">
        <f>BG28-BF28</f>
        <v>-385.7</v>
      </c>
      <c r="BI28" s="28">
        <f>BG28/BF28%</f>
        <v>33.48853250560442</v>
      </c>
      <c r="BJ28" s="45">
        <f t="shared" si="32"/>
        <v>1740.4</v>
      </c>
      <c r="BK28" s="38">
        <f t="shared" si="33"/>
        <v>0</v>
      </c>
      <c r="BL28" s="38">
        <f t="shared" si="34"/>
        <v>-1740.4</v>
      </c>
      <c r="BM28" s="43">
        <f>BK28/BJ28%</f>
        <v>0</v>
      </c>
      <c r="BN28" s="58">
        <v>579.9</v>
      </c>
      <c r="BO28" s="57"/>
      <c r="BP28" s="32">
        <f t="shared" si="56"/>
        <v>-579.9</v>
      </c>
      <c r="BQ28" s="44">
        <f>BO28/BN28%</f>
        <v>0</v>
      </c>
      <c r="BR28" s="57">
        <v>579.9</v>
      </c>
      <c r="BS28" s="57"/>
      <c r="BT28" s="32">
        <f>BS28-BR28</f>
        <v>-579.9</v>
      </c>
      <c r="BU28" s="32">
        <f>BS28/BR28%</f>
        <v>0</v>
      </c>
      <c r="BV28" s="56">
        <v>580.6</v>
      </c>
      <c r="BW28" s="57"/>
      <c r="BX28" s="32">
        <f t="shared" si="57"/>
        <v>-580.6</v>
      </c>
      <c r="BY28" s="32">
        <f>BW28/BV28%</f>
        <v>0</v>
      </c>
    </row>
    <row r="29" spans="1:77" ht="38.25" customHeight="1">
      <c r="A29" s="251" t="s">
        <v>37</v>
      </c>
      <c r="B29" s="30">
        <f t="shared" si="53"/>
        <v>84.3</v>
      </c>
      <c r="C29" s="31">
        <f t="shared" si="53"/>
        <v>175.79999999999998</v>
      </c>
      <c r="D29" s="33">
        <f t="shared" si="0"/>
        <v>91.49999999999999</v>
      </c>
      <c r="E29" s="219">
        <f t="shared" si="1"/>
        <v>208.5409252669039</v>
      </c>
      <c r="F29" s="34">
        <f t="shared" si="2"/>
        <v>84.3</v>
      </c>
      <c r="G29" s="35">
        <f t="shared" si="2"/>
        <v>175.79999999999998</v>
      </c>
      <c r="H29" s="35">
        <f t="shared" si="3"/>
        <v>91.49999999999999</v>
      </c>
      <c r="I29" s="36">
        <f>G29/F29%</f>
        <v>208.5409252669039</v>
      </c>
      <c r="J29" s="37">
        <f t="shared" si="41"/>
        <v>84.3</v>
      </c>
      <c r="K29" s="38">
        <f t="shared" si="42"/>
        <v>175.7</v>
      </c>
      <c r="L29" s="38">
        <f t="shared" si="5"/>
        <v>91.39999999999999</v>
      </c>
      <c r="M29" s="43">
        <f>K29/J29%</f>
        <v>208.42230130486357</v>
      </c>
      <c r="N29" s="56"/>
      <c r="O29" s="57"/>
      <c r="P29" s="32">
        <f t="shared" si="51"/>
        <v>0</v>
      </c>
      <c r="Q29" s="32"/>
      <c r="R29" s="57"/>
      <c r="S29" s="57">
        <v>173.5</v>
      </c>
      <c r="T29" s="32">
        <f t="shared" si="25"/>
        <v>173.5</v>
      </c>
      <c r="U29" s="7"/>
      <c r="V29" s="57">
        <v>84.3</v>
      </c>
      <c r="W29" s="57">
        <v>2.2</v>
      </c>
      <c r="X29" s="32">
        <f t="shared" si="9"/>
        <v>-82.1</v>
      </c>
      <c r="Y29" s="32">
        <f t="shared" si="10"/>
        <v>2.6097271648873077</v>
      </c>
      <c r="Z29" s="38">
        <f t="shared" si="37"/>
        <v>0</v>
      </c>
      <c r="AA29" s="38">
        <f t="shared" si="26"/>
        <v>0.1</v>
      </c>
      <c r="AB29" s="38">
        <f t="shared" si="27"/>
        <v>0.1</v>
      </c>
      <c r="AC29" s="38"/>
      <c r="AD29" s="57"/>
      <c r="AE29" s="57"/>
      <c r="AF29" s="32">
        <f t="shared" si="28"/>
        <v>0</v>
      </c>
      <c r="AG29" s="32"/>
      <c r="AH29" s="57"/>
      <c r="AI29" s="57">
        <v>0.1</v>
      </c>
      <c r="AJ29" s="32">
        <f t="shared" si="11"/>
        <v>0.1</v>
      </c>
      <c r="AK29" s="32"/>
      <c r="AL29" s="57"/>
      <c r="AM29" s="57"/>
      <c r="AN29" s="32">
        <f t="shared" si="12"/>
        <v>0</v>
      </c>
      <c r="AO29" s="32"/>
      <c r="AP29" s="40">
        <f t="shared" si="44"/>
        <v>84.3</v>
      </c>
      <c r="AQ29" s="41">
        <f t="shared" si="44"/>
        <v>175.79999999999998</v>
      </c>
      <c r="AR29" s="41">
        <f t="shared" si="14"/>
        <v>91.49999999999999</v>
      </c>
      <c r="AS29" s="42" t="s">
        <v>27</v>
      </c>
      <c r="AT29" s="37">
        <f t="shared" si="50"/>
        <v>0</v>
      </c>
      <c r="AU29" s="38">
        <f>SUM(AY29+BC29+BG29)</f>
        <v>0</v>
      </c>
      <c r="AV29" s="38">
        <f t="shared" si="40"/>
        <v>0</v>
      </c>
      <c r="AW29" s="43"/>
      <c r="AX29" s="58"/>
      <c r="AY29" s="57"/>
      <c r="AZ29" s="32">
        <f t="shared" si="46"/>
        <v>0</v>
      </c>
      <c r="BA29" s="44"/>
      <c r="BB29" s="58"/>
      <c r="BC29" s="57"/>
      <c r="BD29" s="32">
        <f>BC29-BB29</f>
        <v>0</v>
      </c>
      <c r="BE29" s="28"/>
      <c r="BF29" s="56"/>
      <c r="BG29" s="57"/>
      <c r="BH29" s="32">
        <f>BG29-BF29</f>
        <v>0</v>
      </c>
      <c r="BI29" s="28"/>
      <c r="BJ29" s="45">
        <f t="shared" si="32"/>
        <v>0</v>
      </c>
      <c r="BK29" s="38">
        <f t="shared" si="33"/>
        <v>0</v>
      </c>
      <c r="BL29" s="38">
        <f t="shared" si="34"/>
        <v>0</v>
      </c>
      <c r="BM29" s="43"/>
      <c r="BN29" s="58"/>
      <c r="BO29" s="57"/>
      <c r="BP29" s="32">
        <f t="shared" si="56"/>
        <v>0</v>
      </c>
      <c r="BQ29" s="44"/>
      <c r="BR29" s="57"/>
      <c r="BS29" s="57"/>
      <c r="BT29" s="32">
        <f>BS29-BR29</f>
        <v>0</v>
      </c>
      <c r="BU29" s="32"/>
      <c r="BV29" s="56"/>
      <c r="BW29" s="57"/>
      <c r="BX29" s="32">
        <f t="shared" si="57"/>
        <v>0</v>
      </c>
      <c r="BY29" s="32"/>
    </row>
    <row r="30" spans="1:77" ht="57" customHeight="1">
      <c r="A30" s="255" t="s">
        <v>116</v>
      </c>
      <c r="B30" s="30">
        <f t="shared" si="53"/>
        <v>241.5</v>
      </c>
      <c r="C30" s="31">
        <f t="shared" si="53"/>
        <v>401.9</v>
      </c>
      <c r="D30" s="33">
        <f t="shared" si="0"/>
        <v>160.39999999999998</v>
      </c>
      <c r="E30" s="219">
        <f t="shared" si="1"/>
        <v>166.4182194616977</v>
      </c>
      <c r="F30" s="34">
        <f t="shared" si="2"/>
        <v>120.60000000000001</v>
      </c>
      <c r="G30" s="35">
        <f t="shared" si="2"/>
        <v>269.79999999999995</v>
      </c>
      <c r="H30" s="35">
        <f t="shared" si="3"/>
        <v>149.19999999999993</v>
      </c>
      <c r="I30" s="36">
        <f t="shared" si="54"/>
        <v>223.714759535655</v>
      </c>
      <c r="J30" s="256">
        <f t="shared" si="41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6">
        <v>20.1</v>
      </c>
      <c r="O30" s="57">
        <v>22.3</v>
      </c>
      <c r="P30" s="32">
        <f t="shared" si="51"/>
        <v>2.1999999999999993</v>
      </c>
      <c r="Q30" s="32">
        <f>O30/N30%</f>
        <v>110.94527363184079</v>
      </c>
      <c r="R30" s="57">
        <v>20.1</v>
      </c>
      <c r="S30" s="57">
        <v>80.1</v>
      </c>
      <c r="T30" s="32">
        <f>S30-R30</f>
        <v>59.99999999999999</v>
      </c>
      <c r="U30" s="7" t="s">
        <v>27</v>
      </c>
      <c r="V30" s="57">
        <v>20.1</v>
      </c>
      <c r="W30" s="57">
        <v>69</v>
      </c>
      <c r="X30" s="32">
        <f t="shared" si="9"/>
        <v>48.9</v>
      </c>
      <c r="Y30" s="32" t="s">
        <v>27</v>
      </c>
      <c r="Z30" s="38">
        <f t="shared" si="37"/>
        <v>60.300000000000004</v>
      </c>
      <c r="AA30" s="38">
        <f t="shared" si="26"/>
        <v>98.4</v>
      </c>
      <c r="AB30" s="38">
        <f t="shared" si="27"/>
        <v>38.1</v>
      </c>
      <c r="AC30" s="38">
        <f aca="true" t="shared" si="58" ref="AC30:AC37">AA30/Z30%</f>
        <v>163.18407960199002</v>
      </c>
      <c r="AD30" s="57">
        <v>20.1</v>
      </c>
      <c r="AE30" s="57">
        <v>34.6</v>
      </c>
      <c r="AF30" s="32">
        <f t="shared" si="28"/>
        <v>14.5</v>
      </c>
      <c r="AG30" s="32" t="s">
        <v>27</v>
      </c>
      <c r="AH30" s="57">
        <v>20.1</v>
      </c>
      <c r="AI30" s="57">
        <v>63.3</v>
      </c>
      <c r="AJ30" s="32">
        <f t="shared" si="11"/>
        <v>43.199999999999996</v>
      </c>
      <c r="AK30" s="32" t="s">
        <v>27</v>
      </c>
      <c r="AL30" s="57">
        <v>20.1</v>
      </c>
      <c r="AM30" s="57">
        <v>0.5</v>
      </c>
      <c r="AN30" s="32">
        <f t="shared" si="12"/>
        <v>-19.6</v>
      </c>
      <c r="AO30" s="32">
        <f t="shared" si="13"/>
        <v>2.487562189054726</v>
      </c>
      <c r="AP30" s="40">
        <f t="shared" si="44"/>
        <v>180.9</v>
      </c>
      <c r="AQ30" s="41"/>
      <c r="AR30" s="41"/>
      <c r="AS30" s="42"/>
      <c r="AT30" s="256">
        <f t="shared" si="50"/>
        <v>60.300000000000004</v>
      </c>
      <c r="AU30" s="38">
        <f>AY30+BC30+BG30</f>
        <v>132.10000000000002</v>
      </c>
      <c r="AV30" s="38">
        <f t="shared" si="40"/>
        <v>71.80000000000001</v>
      </c>
      <c r="AW30" s="43">
        <f>AU30/AT30%</f>
        <v>219.07131011608624</v>
      </c>
      <c r="AX30" s="58">
        <v>20.1</v>
      </c>
      <c r="AY30" s="57">
        <v>47.2</v>
      </c>
      <c r="AZ30" s="32">
        <f>AY30-AX30</f>
        <v>27.1</v>
      </c>
      <c r="BA30" s="44">
        <f>AY30/AX30%</f>
        <v>234.82587064676616</v>
      </c>
      <c r="BB30" s="58">
        <v>20.1</v>
      </c>
      <c r="BC30" s="57">
        <v>75.9</v>
      </c>
      <c r="BD30" s="32">
        <f>BC30-BB30</f>
        <v>55.800000000000004</v>
      </c>
      <c r="BE30" s="28" t="s">
        <v>27</v>
      </c>
      <c r="BF30" s="56">
        <v>20.1</v>
      </c>
      <c r="BG30" s="56">
        <v>9</v>
      </c>
      <c r="BH30" s="32">
        <f>BG30-BF30</f>
        <v>-11.100000000000001</v>
      </c>
      <c r="BI30" s="28">
        <f>BG30/BF30%</f>
        <v>44.776119402985074</v>
      </c>
      <c r="BJ30" s="45">
        <f t="shared" si="32"/>
        <v>60.6</v>
      </c>
      <c r="BK30" s="38">
        <f t="shared" si="33"/>
        <v>0</v>
      </c>
      <c r="BL30" s="38">
        <f t="shared" si="34"/>
        <v>-60.6</v>
      </c>
      <c r="BM30" s="43" t="s">
        <v>27</v>
      </c>
      <c r="BN30" s="58">
        <v>20.1</v>
      </c>
      <c r="BO30" s="56"/>
      <c r="BP30" s="32">
        <f t="shared" si="56"/>
        <v>-20.1</v>
      </c>
      <c r="BQ30" s="44">
        <f>BO30/BN30%</f>
        <v>0</v>
      </c>
      <c r="BR30" s="57">
        <v>20.1</v>
      </c>
      <c r="BS30" s="57"/>
      <c r="BT30" s="32">
        <f>BS30-BR30</f>
        <v>-20.1</v>
      </c>
      <c r="BU30" s="32">
        <f>BS30/BR30%</f>
        <v>0</v>
      </c>
      <c r="BV30" s="56">
        <v>20.4</v>
      </c>
      <c r="BW30" s="57"/>
      <c r="BX30" s="32">
        <f t="shared" si="57"/>
        <v>-20.4</v>
      </c>
      <c r="BY30" s="32">
        <f>BW30/BV30%</f>
        <v>0</v>
      </c>
    </row>
    <row r="31" spans="1:77" s="21" customFormat="1" ht="38.25" customHeight="1">
      <c r="A31" s="50" t="s">
        <v>38</v>
      </c>
      <c r="B31" s="59">
        <f>B32</f>
        <v>2423.5</v>
      </c>
      <c r="C31" s="60">
        <f>C32</f>
        <v>1197.8999999999999</v>
      </c>
      <c r="D31" s="8">
        <f t="shared" si="0"/>
        <v>-1225.6000000000001</v>
      </c>
      <c r="E31" s="20">
        <f t="shared" si="1"/>
        <v>49.42851248194759</v>
      </c>
      <c r="F31" s="9">
        <f t="shared" si="2"/>
        <v>1676.5</v>
      </c>
      <c r="G31" s="10">
        <f t="shared" si="2"/>
        <v>765.8</v>
      </c>
      <c r="H31" s="10">
        <f t="shared" si="3"/>
        <v>-910.7</v>
      </c>
      <c r="I31" s="11">
        <f t="shared" si="54"/>
        <v>45.67849686847599</v>
      </c>
      <c r="J31" s="24">
        <f t="shared" si="41"/>
        <v>1027.5</v>
      </c>
      <c r="K31" s="496">
        <f t="shared" si="42"/>
        <v>304.4</v>
      </c>
      <c r="L31" s="496">
        <f t="shared" si="5"/>
        <v>-723.1</v>
      </c>
      <c r="M31" s="497">
        <f aca="true" t="shared" si="59" ref="M31:M38">K31/J31%</f>
        <v>29.62530413625304</v>
      </c>
      <c r="N31" s="61">
        <f>N32</f>
        <v>34.1</v>
      </c>
      <c r="O31" s="60">
        <f>O32</f>
        <v>41.4</v>
      </c>
      <c r="P31" s="7">
        <f t="shared" si="51"/>
        <v>7.299999999999997</v>
      </c>
      <c r="Q31" s="7">
        <f>O31/N31%</f>
        <v>121.40762463343107</v>
      </c>
      <c r="R31" s="60">
        <f>R32</f>
        <v>185</v>
      </c>
      <c r="S31" s="60">
        <f>S32</f>
        <v>186.1</v>
      </c>
      <c r="T31" s="7">
        <f t="shared" si="25"/>
        <v>1.0999999999999943</v>
      </c>
      <c r="U31" s="7">
        <f t="shared" si="43"/>
        <v>100.59459459459458</v>
      </c>
      <c r="V31" s="60">
        <f>V32</f>
        <v>808.4</v>
      </c>
      <c r="W31" s="60">
        <f>W32</f>
        <v>76.9</v>
      </c>
      <c r="X31" s="7">
        <f t="shared" si="9"/>
        <v>-731.5</v>
      </c>
      <c r="Y31" s="7" t="s">
        <v>117</v>
      </c>
      <c r="Z31" s="496">
        <f t="shared" si="37"/>
        <v>649</v>
      </c>
      <c r="AA31" s="496">
        <f t="shared" si="26"/>
        <v>461.4</v>
      </c>
      <c r="AB31" s="496">
        <f t="shared" si="27"/>
        <v>-187.60000000000002</v>
      </c>
      <c r="AC31" s="496">
        <f t="shared" si="58"/>
        <v>71.0939907550077</v>
      </c>
      <c r="AD31" s="60">
        <f>AD32</f>
        <v>158.6</v>
      </c>
      <c r="AE31" s="60">
        <f>AE32</f>
        <v>205</v>
      </c>
      <c r="AF31" s="32">
        <f t="shared" si="28"/>
        <v>46.400000000000006</v>
      </c>
      <c r="AG31" s="32">
        <f t="shared" si="52"/>
        <v>129.25598991172762</v>
      </c>
      <c r="AH31" s="60">
        <f>AH32</f>
        <v>468.1</v>
      </c>
      <c r="AI31" s="60">
        <f>AI32</f>
        <v>252.9</v>
      </c>
      <c r="AJ31" s="7">
        <f t="shared" si="11"/>
        <v>-215.20000000000002</v>
      </c>
      <c r="AK31" s="7">
        <f t="shared" si="39"/>
        <v>54.02691732535783</v>
      </c>
      <c r="AL31" s="60">
        <f>AL32</f>
        <v>22.3</v>
      </c>
      <c r="AM31" s="60">
        <f>AM32</f>
        <v>3.5</v>
      </c>
      <c r="AN31" s="7">
        <f t="shared" si="12"/>
        <v>-18.8</v>
      </c>
      <c r="AO31" s="7">
        <f t="shared" si="13"/>
        <v>15.695067264573991</v>
      </c>
      <c r="AP31" s="14">
        <f t="shared" si="44"/>
        <v>2157.6</v>
      </c>
      <c r="AQ31" s="15">
        <f t="shared" si="44"/>
        <v>1197.8999999999999</v>
      </c>
      <c r="AR31" s="15">
        <f t="shared" si="14"/>
        <v>-959.7</v>
      </c>
      <c r="AS31" s="16">
        <f t="shared" si="55"/>
        <v>55.52002224694104</v>
      </c>
      <c r="AT31" s="24">
        <f t="shared" si="50"/>
        <v>481.1</v>
      </c>
      <c r="AU31" s="496">
        <f aca="true" t="shared" si="60" ref="AU31:AU39">SUM(AY31+BC31+BG31)</f>
        <v>432.09999999999997</v>
      </c>
      <c r="AV31" s="496">
        <f t="shared" si="40"/>
        <v>-49.00000000000006</v>
      </c>
      <c r="AW31" s="497">
        <f aca="true" t="shared" si="61" ref="AW31:AW38">AU31/AT31%</f>
        <v>89.8150072749948</v>
      </c>
      <c r="AX31" s="59">
        <f>AX32</f>
        <v>99</v>
      </c>
      <c r="AY31" s="60">
        <f>AY32</f>
        <v>179.3</v>
      </c>
      <c r="AZ31" s="7">
        <f t="shared" si="46"/>
        <v>80.30000000000001</v>
      </c>
      <c r="BA31" s="19">
        <f>AY31/AX31%</f>
        <v>181.11111111111111</v>
      </c>
      <c r="BB31" s="59">
        <f>BB32</f>
        <v>380.8</v>
      </c>
      <c r="BC31" s="60">
        <f>BC32</f>
        <v>249.1</v>
      </c>
      <c r="BD31" s="7">
        <f aca="true" t="shared" si="62" ref="BD31:BD37">BC31-BB31</f>
        <v>-131.70000000000002</v>
      </c>
      <c r="BE31" s="18" t="s">
        <v>27</v>
      </c>
      <c r="BF31" s="257">
        <f>BF32</f>
        <v>1.3</v>
      </c>
      <c r="BG31" s="60">
        <f>BG32</f>
        <v>3.7</v>
      </c>
      <c r="BH31" s="60">
        <f>BH32</f>
        <v>2.4000000000000004</v>
      </c>
      <c r="BI31" s="28" t="s">
        <v>27</v>
      </c>
      <c r="BJ31" s="26">
        <f t="shared" si="32"/>
        <v>265.9</v>
      </c>
      <c r="BK31" s="496">
        <f t="shared" si="33"/>
        <v>0</v>
      </c>
      <c r="BL31" s="496">
        <f t="shared" si="34"/>
        <v>-265.9</v>
      </c>
      <c r="BM31" s="497">
        <f>BK31/BJ31%</f>
        <v>0</v>
      </c>
      <c r="BN31" s="59">
        <f>BN32</f>
        <v>120.7</v>
      </c>
      <c r="BO31" s="59">
        <f>BO32</f>
        <v>0</v>
      </c>
      <c r="BP31" s="7">
        <f t="shared" si="56"/>
        <v>-120.7</v>
      </c>
      <c r="BQ31" s="44">
        <f>BO31/BN31%</f>
        <v>0</v>
      </c>
      <c r="BR31" s="60">
        <f>BR32</f>
        <v>26.8</v>
      </c>
      <c r="BS31" s="60">
        <f>BS32</f>
        <v>0</v>
      </c>
      <c r="BT31" s="60">
        <f>BT32</f>
        <v>-26.8</v>
      </c>
      <c r="BU31" s="32" t="s">
        <v>27</v>
      </c>
      <c r="BV31" s="61">
        <f>BV32</f>
        <v>118.4</v>
      </c>
      <c r="BW31" s="60">
        <f>BW32</f>
        <v>0</v>
      </c>
      <c r="BX31" s="32">
        <f t="shared" si="57"/>
        <v>-118.4</v>
      </c>
      <c r="BY31" s="20" t="s">
        <v>27</v>
      </c>
    </row>
    <row r="32" spans="1:77" ht="40.5" customHeight="1">
      <c r="A32" s="49" t="s">
        <v>39</v>
      </c>
      <c r="B32" s="30">
        <f>J32+Z32+AT32+BJ32</f>
        <v>2423.5</v>
      </c>
      <c r="C32" s="31">
        <f>K32+AA32+AU32+BK32</f>
        <v>1197.8999999999999</v>
      </c>
      <c r="D32" s="33">
        <f t="shared" si="0"/>
        <v>-1225.6000000000001</v>
      </c>
      <c r="E32" s="219">
        <f t="shared" si="1"/>
        <v>49.42851248194759</v>
      </c>
      <c r="F32" s="34">
        <f t="shared" si="2"/>
        <v>1676.5</v>
      </c>
      <c r="G32" s="35">
        <f t="shared" si="2"/>
        <v>765.8</v>
      </c>
      <c r="H32" s="35">
        <f t="shared" si="3"/>
        <v>-910.7</v>
      </c>
      <c r="I32" s="36">
        <f t="shared" si="54"/>
        <v>45.67849686847599</v>
      </c>
      <c r="J32" s="37">
        <f t="shared" si="41"/>
        <v>1027.5</v>
      </c>
      <c r="K32" s="38">
        <f t="shared" si="42"/>
        <v>304.4</v>
      </c>
      <c r="L32" s="38">
        <f t="shared" si="5"/>
        <v>-723.1</v>
      </c>
      <c r="M32" s="43">
        <f t="shared" si="59"/>
        <v>29.62530413625304</v>
      </c>
      <c r="N32" s="56">
        <v>34.1</v>
      </c>
      <c r="O32" s="57">
        <v>41.4</v>
      </c>
      <c r="P32" s="32">
        <f t="shared" si="51"/>
        <v>7.299999999999997</v>
      </c>
      <c r="Q32" s="32">
        <f>O32/N32%</f>
        <v>121.40762463343107</v>
      </c>
      <c r="R32" s="57">
        <v>185</v>
      </c>
      <c r="S32" s="57">
        <v>186.1</v>
      </c>
      <c r="T32" s="32">
        <f t="shared" si="25"/>
        <v>1.0999999999999943</v>
      </c>
      <c r="U32" s="7">
        <f t="shared" si="43"/>
        <v>100.59459459459458</v>
      </c>
      <c r="V32" s="57">
        <v>808.4</v>
      </c>
      <c r="W32" s="57">
        <v>76.9</v>
      </c>
      <c r="X32" s="32">
        <f t="shared" si="9"/>
        <v>-731.5</v>
      </c>
      <c r="Y32" s="7" t="s">
        <v>117</v>
      </c>
      <c r="Z32" s="38">
        <f t="shared" si="37"/>
        <v>649</v>
      </c>
      <c r="AA32" s="38">
        <f t="shared" si="26"/>
        <v>461.4</v>
      </c>
      <c r="AB32" s="38">
        <f t="shared" si="27"/>
        <v>-187.60000000000002</v>
      </c>
      <c r="AC32" s="38">
        <f t="shared" si="58"/>
        <v>71.0939907550077</v>
      </c>
      <c r="AD32" s="57">
        <v>158.6</v>
      </c>
      <c r="AE32" s="57">
        <v>205</v>
      </c>
      <c r="AF32" s="32">
        <f t="shared" si="28"/>
        <v>46.400000000000006</v>
      </c>
      <c r="AG32" s="32">
        <f t="shared" si="52"/>
        <v>129.25598991172762</v>
      </c>
      <c r="AH32" s="57">
        <v>468.1</v>
      </c>
      <c r="AI32" s="57">
        <v>252.9</v>
      </c>
      <c r="AJ32" s="32">
        <f t="shared" si="11"/>
        <v>-215.20000000000002</v>
      </c>
      <c r="AK32" s="32">
        <f t="shared" si="39"/>
        <v>54.02691732535783</v>
      </c>
      <c r="AL32" s="57">
        <v>22.3</v>
      </c>
      <c r="AM32" s="57">
        <v>3.5</v>
      </c>
      <c r="AN32" s="32">
        <f t="shared" si="12"/>
        <v>-18.8</v>
      </c>
      <c r="AO32" s="32">
        <f t="shared" si="13"/>
        <v>15.695067264573991</v>
      </c>
      <c r="AP32" s="40">
        <f t="shared" si="44"/>
        <v>2157.6</v>
      </c>
      <c r="AQ32" s="41">
        <f t="shared" si="44"/>
        <v>1197.8999999999999</v>
      </c>
      <c r="AR32" s="41">
        <f t="shared" si="14"/>
        <v>-959.7</v>
      </c>
      <c r="AS32" s="42">
        <f t="shared" si="55"/>
        <v>55.52002224694104</v>
      </c>
      <c r="AT32" s="37">
        <f t="shared" si="50"/>
        <v>481.1</v>
      </c>
      <c r="AU32" s="38">
        <f t="shared" si="60"/>
        <v>432.09999999999997</v>
      </c>
      <c r="AV32" s="38">
        <f t="shared" si="40"/>
        <v>-49.00000000000006</v>
      </c>
      <c r="AW32" s="43">
        <f t="shared" si="61"/>
        <v>89.8150072749948</v>
      </c>
      <c r="AX32" s="58">
        <v>99</v>
      </c>
      <c r="AY32" s="57">
        <v>179.3</v>
      </c>
      <c r="AZ32" s="32">
        <f t="shared" si="46"/>
        <v>80.30000000000001</v>
      </c>
      <c r="BA32" s="44" t="s">
        <v>27</v>
      </c>
      <c r="BB32" s="58">
        <v>380.8</v>
      </c>
      <c r="BC32" s="57">
        <v>249.1</v>
      </c>
      <c r="BD32" s="32">
        <f t="shared" si="62"/>
        <v>-131.70000000000002</v>
      </c>
      <c r="BE32" s="28" t="s">
        <v>27</v>
      </c>
      <c r="BF32" s="56">
        <v>1.3</v>
      </c>
      <c r="BG32" s="57">
        <v>3.7</v>
      </c>
      <c r="BH32" s="32">
        <f aca="true" t="shared" si="63" ref="BH32:BH37">BG32-BF32</f>
        <v>2.4000000000000004</v>
      </c>
      <c r="BI32" s="28" t="s">
        <v>27</v>
      </c>
      <c r="BJ32" s="45">
        <f>BN32+BR32+BV32</f>
        <v>265.9</v>
      </c>
      <c r="BK32" s="38">
        <f>SUM(BO32+BS32+BW32)</f>
        <v>0</v>
      </c>
      <c r="BL32" s="38">
        <f t="shared" si="34"/>
        <v>-265.9</v>
      </c>
      <c r="BM32" s="497">
        <f aca="true" t="shared" si="64" ref="BM32:BM37">BK32/BJ32%</f>
        <v>0</v>
      </c>
      <c r="BN32" s="58">
        <v>120.7</v>
      </c>
      <c r="BO32" s="57"/>
      <c r="BP32" s="32">
        <f t="shared" si="56"/>
        <v>-120.7</v>
      </c>
      <c r="BQ32" s="44">
        <f>BO32/BN32%</f>
        <v>0</v>
      </c>
      <c r="BR32" s="57">
        <v>26.8</v>
      </c>
      <c r="BS32" s="57"/>
      <c r="BT32" s="32">
        <f aca="true" t="shared" si="65" ref="BT32:BT38">BS32-BR32</f>
        <v>-26.8</v>
      </c>
      <c r="BU32" s="32" t="s">
        <v>27</v>
      </c>
      <c r="BV32" s="56">
        <v>118.4</v>
      </c>
      <c r="BW32" s="57"/>
      <c r="BX32" s="32">
        <f t="shared" si="57"/>
        <v>-118.4</v>
      </c>
      <c r="BY32" s="219" t="s">
        <v>27</v>
      </c>
    </row>
    <row r="33" spans="1:77" s="21" customFormat="1" ht="33" customHeight="1">
      <c r="A33" s="50" t="s">
        <v>40</v>
      </c>
      <c r="B33" s="59">
        <f>B34</f>
        <v>208.2</v>
      </c>
      <c r="C33" s="61">
        <f>C34</f>
        <v>357.3</v>
      </c>
      <c r="D33" s="8">
        <f t="shared" si="0"/>
        <v>149.10000000000002</v>
      </c>
      <c r="E33" s="384" t="s">
        <v>27</v>
      </c>
      <c r="F33" s="9">
        <f t="shared" si="2"/>
        <v>111.89999999999999</v>
      </c>
      <c r="G33" s="10">
        <f t="shared" si="2"/>
        <v>275.3</v>
      </c>
      <c r="H33" s="10">
        <f t="shared" si="3"/>
        <v>163.40000000000003</v>
      </c>
      <c r="I33" s="11">
        <f t="shared" si="54"/>
        <v>246.02323503127795</v>
      </c>
      <c r="J33" s="24">
        <f t="shared" si="41"/>
        <v>0</v>
      </c>
      <c r="K33" s="496">
        <f t="shared" si="42"/>
        <v>159.4</v>
      </c>
      <c r="L33" s="496">
        <f t="shared" si="5"/>
        <v>159.4</v>
      </c>
      <c r="M33" s="43"/>
      <c r="N33" s="61">
        <f>N34</f>
        <v>0</v>
      </c>
      <c r="O33" s="61">
        <f>O34</f>
        <v>27.3</v>
      </c>
      <c r="P33" s="32">
        <f t="shared" si="51"/>
        <v>27.3</v>
      </c>
      <c r="Q33" s="32"/>
      <c r="R33" s="61">
        <f>R34</f>
        <v>0</v>
      </c>
      <c r="S33" s="61">
        <f>S34</f>
        <v>12.3</v>
      </c>
      <c r="T33" s="7">
        <f t="shared" si="25"/>
        <v>12.3</v>
      </c>
      <c r="U33" s="7"/>
      <c r="V33" s="61">
        <f>V34</f>
        <v>0</v>
      </c>
      <c r="W33" s="61">
        <f>W34</f>
        <v>119.8</v>
      </c>
      <c r="X33" s="32">
        <f t="shared" si="9"/>
        <v>119.8</v>
      </c>
      <c r="Y33" s="32"/>
      <c r="Z33" s="496">
        <f t="shared" si="37"/>
        <v>111.89999999999999</v>
      </c>
      <c r="AA33" s="496">
        <f t="shared" si="26"/>
        <v>115.9</v>
      </c>
      <c r="AB33" s="496">
        <f t="shared" si="27"/>
        <v>4.000000000000014</v>
      </c>
      <c r="AC33" s="38">
        <f t="shared" si="58"/>
        <v>103.57462019660412</v>
      </c>
      <c r="AD33" s="61">
        <f>AD34</f>
        <v>81.6</v>
      </c>
      <c r="AE33" s="61">
        <f>AE34</f>
        <v>29.5</v>
      </c>
      <c r="AF33" s="7">
        <f t="shared" si="28"/>
        <v>-52.099999999999994</v>
      </c>
      <c r="AG33" s="32"/>
      <c r="AH33" s="61">
        <f>AH34</f>
        <v>0</v>
      </c>
      <c r="AI33" s="61">
        <f>AI34</f>
        <v>46.5</v>
      </c>
      <c r="AJ33" s="7">
        <f t="shared" si="11"/>
        <v>46.5</v>
      </c>
      <c r="AK33" s="32"/>
      <c r="AL33" s="60">
        <f>AL34</f>
        <v>30.3</v>
      </c>
      <c r="AM33" s="60">
        <f>AM34</f>
        <v>39.9</v>
      </c>
      <c r="AN33" s="7">
        <f t="shared" si="12"/>
        <v>9.599999999999998</v>
      </c>
      <c r="AO33" s="7">
        <f t="shared" si="13"/>
        <v>131.68316831683168</v>
      </c>
      <c r="AP33" s="14">
        <f>J33+Z33+AT33</f>
        <v>208.2</v>
      </c>
      <c r="AQ33" s="62">
        <f>AQ34</f>
        <v>357.3</v>
      </c>
      <c r="AR33" s="15">
        <f t="shared" si="14"/>
        <v>149.10000000000002</v>
      </c>
      <c r="AS33" s="16" t="s">
        <v>27</v>
      </c>
      <c r="AT33" s="24">
        <f t="shared" si="50"/>
        <v>96.3</v>
      </c>
      <c r="AU33" s="496">
        <f t="shared" si="60"/>
        <v>82</v>
      </c>
      <c r="AV33" s="496">
        <f t="shared" si="40"/>
        <v>-14.299999999999997</v>
      </c>
      <c r="AW33" s="43">
        <f t="shared" si="61"/>
        <v>85.15057113187954</v>
      </c>
      <c r="AX33" s="59">
        <f>AX34</f>
        <v>0</v>
      </c>
      <c r="AY33" s="61">
        <f>AY34</f>
        <v>19</v>
      </c>
      <c r="AZ33" s="7">
        <f t="shared" si="46"/>
        <v>19</v>
      </c>
      <c r="BA33" s="19"/>
      <c r="BB33" s="59">
        <f>BB34</f>
        <v>96.3</v>
      </c>
      <c r="BC33" s="61">
        <f>BC34</f>
        <v>30.4</v>
      </c>
      <c r="BD33" s="32">
        <f t="shared" si="62"/>
        <v>-65.9</v>
      </c>
      <c r="BE33" s="28"/>
      <c r="BF33" s="61">
        <f>BF34</f>
        <v>0</v>
      </c>
      <c r="BG33" s="61">
        <f>BG34</f>
        <v>32.6</v>
      </c>
      <c r="BH33" s="32">
        <f t="shared" si="63"/>
        <v>32.6</v>
      </c>
      <c r="BI33" s="28"/>
      <c r="BJ33" s="26">
        <f t="shared" si="32"/>
        <v>0</v>
      </c>
      <c r="BK33" s="496">
        <f t="shared" si="33"/>
        <v>0</v>
      </c>
      <c r="BL33" s="496">
        <f t="shared" si="34"/>
        <v>0</v>
      </c>
      <c r="BM33" s="43" t="s">
        <v>27</v>
      </c>
      <c r="BN33" s="61">
        <f>BN34</f>
        <v>0</v>
      </c>
      <c r="BO33" s="61">
        <f>BO34</f>
        <v>0</v>
      </c>
      <c r="BP33" s="32">
        <f t="shared" si="56"/>
        <v>0</v>
      </c>
      <c r="BQ33" s="44" t="s">
        <v>27</v>
      </c>
      <c r="BR33" s="60">
        <f>BR34</f>
        <v>0</v>
      </c>
      <c r="BS33" s="60">
        <f>BS34</f>
        <v>0</v>
      </c>
      <c r="BT33" s="7">
        <f t="shared" si="65"/>
        <v>0</v>
      </c>
      <c r="BU33" s="32"/>
      <c r="BV33" s="61">
        <f>BV34</f>
        <v>0</v>
      </c>
      <c r="BW33" s="60">
        <f>BW34</f>
        <v>0</v>
      </c>
      <c r="BX33" s="7">
        <f t="shared" si="57"/>
        <v>0</v>
      </c>
      <c r="BY33" s="7"/>
    </row>
    <row r="34" spans="1:77" ht="40.5" customHeight="1">
      <c r="A34" s="63" t="s">
        <v>41</v>
      </c>
      <c r="B34" s="30">
        <f>J34+Z34+AT34+BJ34</f>
        <v>208.2</v>
      </c>
      <c r="C34" s="31">
        <f>K34+AA34+AU34+BK34</f>
        <v>357.3</v>
      </c>
      <c r="D34" s="33">
        <f t="shared" si="0"/>
        <v>149.10000000000002</v>
      </c>
      <c r="E34" s="385" t="s">
        <v>27</v>
      </c>
      <c r="F34" s="34">
        <f t="shared" si="2"/>
        <v>111.89999999999999</v>
      </c>
      <c r="G34" s="35">
        <f t="shared" si="2"/>
        <v>275.3</v>
      </c>
      <c r="H34" s="35">
        <f t="shared" si="3"/>
        <v>163.40000000000003</v>
      </c>
      <c r="I34" s="36">
        <f t="shared" si="54"/>
        <v>246.02323503127795</v>
      </c>
      <c r="J34" s="37">
        <f t="shared" si="41"/>
        <v>0</v>
      </c>
      <c r="K34" s="38">
        <f t="shared" si="42"/>
        <v>159.4</v>
      </c>
      <c r="L34" s="38">
        <f t="shared" si="5"/>
        <v>159.4</v>
      </c>
      <c r="M34" s="43"/>
      <c r="N34" s="56"/>
      <c r="O34" s="57">
        <v>27.3</v>
      </c>
      <c r="P34" s="32">
        <f t="shared" si="51"/>
        <v>27.3</v>
      </c>
      <c r="Q34" s="32"/>
      <c r="R34" s="57"/>
      <c r="S34" s="57">
        <v>12.3</v>
      </c>
      <c r="T34" s="32">
        <f t="shared" si="25"/>
        <v>12.3</v>
      </c>
      <c r="U34" s="7"/>
      <c r="V34" s="57"/>
      <c r="W34" s="57">
        <v>119.8</v>
      </c>
      <c r="X34" s="32">
        <f t="shared" si="9"/>
        <v>119.8</v>
      </c>
      <c r="Y34" s="32"/>
      <c r="Z34" s="38">
        <f t="shared" si="37"/>
        <v>111.89999999999999</v>
      </c>
      <c r="AA34" s="38">
        <f t="shared" si="26"/>
        <v>115.9</v>
      </c>
      <c r="AB34" s="38">
        <f t="shared" si="27"/>
        <v>4.000000000000014</v>
      </c>
      <c r="AC34" s="38">
        <f t="shared" si="58"/>
        <v>103.57462019660412</v>
      </c>
      <c r="AD34" s="57">
        <v>81.6</v>
      </c>
      <c r="AE34" s="57">
        <v>29.5</v>
      </c>
      <c r="AF34" s="32">
        <f t="shared" si="28"/>
        <v>-52.099999999999994</v>
      </c>
      <c r="AG34" s="32"/>
      <c r="AH34" s="57"/>
      <c r="AI34" s="57">
        <v>46.5</v>
      </c>
      <c r="AJ34" s="32">
        <f t="shared" si="11"/>
        <v>46.5</v>
      </c>
      <c r="AK34" s="32"/>
      <c r="AL34" s="57">
        <v>30.3</v>
      </c>
      <c r="AM34" s="57">
        <v>39.9</v>
      </c>
      <c r="AN34" s="32">
        <f t="shared" si="12"/>
        <v>9.599999999999998</v>
      </c>
      <c r="AO34" s="32">
        <f t="shared" si="13"/>
        <v>131.68316831683168</v>
      </c>
      <c r="AP34" s="14">
        <f>J34+Z34+AT34</f>
        <v>208.2</v>
      </c>
      <c r="AQ34" s="41">
        <f aca="true" t="shared" si="66" ref="AP34:AQ39">K34+AA34+AU34</f>
        <v>357.3</v>
      </c>
      <c r="AR34" s="41">
        <f t="shared" si="14"/>
        <v>149.10000000000002</v>
      </c>
      <c r="AS34" s="42" t="s">
        <v>27</v>
      </c>
      <c r="AT34" s="37">
        <f t="shared" si="50"/>
        <v>96.3</v>
      </c>
      <c r="AU34" s="38">
        <f t="shared" si="60"/>
        <v>82</v>
      </c>
      <c r="AV34" s="38">
        <f t="shared" si="40"/>
        <v>-14.299999999999997</v>
      </c>
      <c r="AW34" s="43">
        <f t="shared" si="61"/>
        <v>85.15057113187954</v>
      </c>
      <c r="AX34" s="58"/>
      <c r="AY34" s="57">
        <v>19</v>
      </c>
      <c r="AZ34" s="32">
        <f t="shared" si="46"/>
        <v>19</v>
      </c>
      <c r="BA34" s="44"/>
      <c r="BB34" s="58">
        <v>96.3</v>
      </c>
      <c r="BC34" s="57">
        <v>30.4</v>
      </c>
      <c r="BD34" s="32">
        <f t="shared" si="62"/>
        <v>-65.9</v>
      </c>
      <c r="BE34" s="28"/>
      <c r="BF34" s="56"/>
      <c r="BG34" s="57">
        <v>32.6</v>
      </c>
      <c r="BH34" s="32">
        <f t="shared" si="63"/>
        <v>32.6</v>
      </c>
      <c r="BI34" s="28"/>
      <c r="BJ34" s="45">
        <f t="shared" si="32"/>
        <v>0</v>
      </c>
      <c r="BK34" s="38">
        <f t="shared" si="33"/>
        <v>0</v>
      </c>
      <c r="BL34" s="38">
        <f t="shared" si="34"/>
        <v>0</v>
      </c>
      <c r="BM34" s="43" t="s">
        <v>27</v>
      </c>
      <c r="BN34" s="58"/>
      <c r="BO34" s="57"/>
      <c r="BP34" s="32">
        <f t="shared" si="56"/>
        <v>0</v>
      </c>
      <c r="BQ34" s="44" t="s">
        <v>27</v>
      </c>
      <c r="BR34" s="57"/>
      <c r="BS34" s="57"/>
      <c r="BT34" s="7">
        <f t="shared" si="65"/>
        <v>0</v>
      </c>
      <c r="BU34" s="32"/>
      <c r="BV34" s="56"/>
      <c r="BW34" s="57"/>
      <c r="BX34" s="32">
        <f t="shared" si="57"/>
        <v>0</v>
      </c>
      <c r="BY34" s="32"/>
    </row>
    <row r="35" spans="1:77" s="65" customFormat="1" ht="33.75" customHeight="1">
      <c r="A35" s="64" t="s">
        <v>42</v>
      </c>
      <c r="B35" s="59">
        <f>B37+B36</f>
        <v>14041.5</v>
      </c>
      <c r="C35" s="61">
        <f>C37+C36</f>
        <v>15908.899999999998</v>
      </c>
      <c r="D35" s="7">
        <f t="shared" si="0"/>
        <v>1867.3999999999978</v>
      </c>
      <c r="E35" s="384" t="s">
        <v>27</v>
      </c>
      <c r="F35" s="9">
        <f t="shared" si="2"/>
        <v>5323.6</v>
      </c>
      <c r="G35" s="10">
        <f t="shared" si="2"/>
        <v>13048.600000000002</v>
      </c>
      <c r="H35" s="10">
        <f t="shared" si="3"/>
        <v>7725.000000000002</v>
      </c>
      <c r="I35" s="258" t="s">
        <v>27</v>
      </c>
      <c r="J35" s="24">
        <f t="shared" si="41"/>
        <v>208.79999999999998</v>
      </c>
      <c r="K35" s="496">
        <f t="shared" si="42"/>
        <v>9400.800000000001</v>
      </c>
      <c r="L35" s="496">
        <f t="shared" si="5"/>
        <v>9192.000000000002</v>
      </c>
      <c r="M35" s="497" t="s">
        <v>27</v>
      </c>
      <c r="N35" s="61">
        <f>N37+N36</f>
        <v>69.6</v>
      </c>
      <c r="O35" s="61">
        <f>O37+O36</f>
        <v>1081.9</v>
      </c>
      <c r="P35" s="7">
        <f t="shared" si="51"/>
        <v>1012.3000000000001</v>
      </c>
      <c r="Q35" s="7">
        <f>O35/N35%</f>
        <v>1554.454022988506</v>
      </c>
      <c r="R35" s="61">
        <f>R37+R36</f>
        <v>69.6</v>
      </c>
      <c r="S35" s="61">
        <f>S37+S36</f>
        <v>4297.3</v>
      </c>
      <c r="T35" s="7">
        <f t="shared" si="25"/>
        <v>4227.7</v>
      </c>
      <c r="U35" s="7" t="s">
        <v>27</v>
      </c>
      <c r="V35" s="61">
        <f>V37+V36</f>
        <v>69.6</v>
      </c>
      <c r="W35" s="61">
        <f>W37+W36</f>
        <v>4021.6</v>
      </c>
      <c r="X35" s="7">
        <f t="shared" si="9"/>
        <v>3952</v>
      </c>
      <c r="Y35" s="7" t="s">
        <v>117</v>
      </c>
      <c r="Z35" s="496">
        <f t="shared" si="37"/>
        <v>5114.8</v>
      </c>
      <c r="AA35" s="496">
        <f t="shared" si="26"/>
        <v>3647.8</v>
      </c>
      <c r="AB35" s="496">
        <f t="shared" si="27"/>
        <v>-1467</v>
      </c>
      <c r="AC35" s="496" t="s">
        <v>27</v>
      </c>
      <c r="AD35" s="61">
        <f>AD37+AD36</f>
        <v>69.6</v>
      </c>
      <c r="AE35" s="61">
        <f>AE37+AE36</f>
        <v>2741.4</v>
      </c>
      <c r="AF35" s="7">
        <f t="shared" si="28"/>
        <v>2671.8</v>
      </c>
      <c r="AG35" s="7" t="s">
        <v>27</v>
      </c>
      <c r="AH35" s="61">
        <f>AH37+AH36</f>
        <v>69.6</v>
      </c>
      <c r="AI35" s="61">
        <f>AI37+AI36</f>
        <v>107.8</v>
      </c>
      <c r="AJ35" s="7">
        <f t="shared" si="11"/>
        <v>38.2</v>
      </c>
      <c r="AK35" s="7">
        <f t="shared" si="39"/>
        <v>154.88505747126436</v>
      </c>
      <c r="AL35" s="60">
        <f>AL37+AL36</f>
        <v>4975.6</v>
      </c>
      <c r="AM35" s="60">
        <f>AM37+AM36</f>
        <v>798.6</v>
      </c>
      <c r="AN35" s="7">
        <f t="shared" si="12"/>
        <v>-4177</v>
      </c>
      <c r="AO35" s="7">
        <f t="shared" si="13"/>
        <v>16.050325588873704</v>
      </c>
      <c r="AP35" s="14">
        <f t="shared" si="66"/>
        <v>13832.400000000001</v>
      </c>
      <c r="AQ35" s="15">
        <f t="shared" si="66"/>
        <v>15908.900000000001</v>
      </c>
      <c r="AR35" s="15">
        <f t="shared" si="14"/>
        <v>2076.5</v>
      </c>
      <c r="AS35" s="16" t="s">
        <v>27</v>
      </c>
      <c r="AT35" s="24">
        <f t="shared" si="50"/>
        <v>8508.800000000001</v>
      </c>
      <c r="AU35" s="496">
        <f t="shared" si="60"/>
        <v>2860.3</v>
      </c>
      <c r="AV35" s="496">
        <f t="shared" si="40"/>
        <v>-5648.500000000001</v>
      </c>
      <c r="AW35" s="497" t="s">
        <v>27</v>
      </c>
      <c r="AX35" s="59">
        <f>AX37+AX36</f>
        <v>69.6</v>
      </c>
      <c r="AY35" s="61">
        <f>AY37+AY36</f>
        <v>1036.6</v>
      </c>
      <c r="AZ35" s="7">
        <f t="shared" si="46"/>
        <v>966.9999999999999</v>
      </c>
      <c r="BA35" s="44" t="s">
        <v>27</v>
      </c>
      <c r="BB35" s="59">
        <f>BB37+BB36</f>
        <v>8369.6</v>
      </c>
      <c r="BC35" s="61">
        <f>BC37+BC36</f>
        <v>532.7</v>
      </c>
      <c r="BD35" s="7">
        <f t="shared" si="62"/>
        <v>-7836.900000000001</v>
      </c>
      <c r="BE35" s="18" t="s">
        <v>27</v>
      </c>
      <c r="BF35" s="61">
        <f>BF37+BF36</f>
        <v>69.6</v>
      </c>
      <c r="BG35" s="61">
        <f>BG37+BG36</f>
        <v>1291</v>
      </c>
      <c r="BH35" s="7">
        <f t="shared" si="63"/>
        <v>1221.4</v>
      </c>
      <c r="BI35" s="18" t="s">
        <v>27</v>
      </c>
      <c r="BJ35" s="26">
        <f t="shared" si="32"/>
        <v>209.1</v>
      </c>
      <c r="BK35" s="496">
        <f t="shared" si="33"/>
        <v>0</v>
      </c>
      <c r="BL35" s="496">
        <f t="shared" si="34"/>
        <v>-209.1</v>
      </c>
      <c r="BM35" s="497">
        <f t="shared" si="64"/>
        <v>0</v>
      </c>
      <c r="BN35" s="61">
        <f>BN37+BN36</f>
        <v>69.6</v>
      </c>
      <c r="BO35" s="61">
        <f>BO37+BO36</f>
        <v>0</v>
      </c>
      <c r="BP35" s="7">
        <f t="shared" si="56"/>
        <v>-69.6</v>
      </c>
      <c r="BQ35" s="44">
        <f>BO35/BN35%</f>
        <v>0</v>
      </c>
      <c r="BR35" s="60">
        <f>BR37+BR36</f>
        <v>69.6</v>
      </c>
      <c r="BS35" s="60">
        <f>BS37+BS36</f>
        <v>0</v>
      </c>
      <c r="BT35" s="7">
        <f t="shared" si="65"/>
        <v>-69.6</v>
      </c>
      <c r="BU35" s="32" t="s">
        <v>27</v>
      </c>
      <c r="BV35" s="61">
        <f>BV37+BV36</f>
        <v>69.9</v>
      </c>
      <c r="BW35" s="60">
        <f>BW37+BW36</f>
        <v>0</v>
      </c>
      <c r="BX35" s="7">
        <f t="shared" si="57"/>
        <v>-69.9</v>
      </c>
      <c r="BY35" s="32" t="s">
        <v>27</v>
      </c>
    </row>
    <row r="36" spans="1:77" s="1" customFormat="1" ht="22.5" customHeight="1">
      <c r="A36" s="46" t="s">
        <v>43</v>
      </c>
      <c r="B36" s="30">
        <f aca="true" t="shared" si="67" ref="B36:C39">J36+Z36+AT36+BJ36</f>
        <v>765.9</v>
      </c>
      <c r="C36" s="31">
        <f t="shared" si="67"/>
        <v>488.29999999999995</v>
      </c>
      <c r="D36" s="32">
        <f t="shared" si="0"/>
        <v>-277.6</v>
      </c>
      <c r="E36" s="219">
        <f t="shared" si="1"/>
        <v>63.75505940723332</v>
      </c>
      <c r="F36" s="34">
        <f t="shared" si="2"/>
        <v>417.59999999999997</v>
      </c>
      <c r="G36" s="35">
        <f t="shared" si="2"/>
        <v>269</v>
      </c>
      <c r="H36" s="35">
        <f t="shared" si="3"/>
        <v>-148.59999999999997</v>
      </c>
      <c r="I36" s="36">
        <f>G36/F36%</f>
        <v>64.41570881226055</v>
      </c>
      <c r="J36" s="37">
        <f t="shared" si="41"/>
        <v>208.79999999999998</v>
      </c>
      <c r="K36" s="38">
        <f t="shared" si="42"/>
        <v>134.9</v>
      </c>
      <c r="L36" s="38">
        <f t="shared" si="5"/>
        <v>-73.89999999999998</v>
      </c>
      <c r="M36" s="43">
        <f t="shared" si="59"/>
        <v>64.6072796934866</v>
      </c>
      <c r="N36" s="56">
        <v>69.6</v>
      </c>
      <c r="O36" s="57">
        <v>45.2</v>
      </c>
      <c r="P36" s="32">
        <f t="shared" si="51"/>
        <v>-24.39999999999999</v>
      </c>
      <c r="Q36" s="32">
        <f>O36/N36%</f>
        <v>64.9425287356322</v>
      </c>
      <c r="R36" s="57">
        <v>69.6</v>
      </c>
      <c r="S36" s="57">
        <v>44.7</v>
      </c>
      <c r="T36" s="32">
        <f t="shared" si="25"/>
        <v>-24.89999999999999</v>
      </c>
      <c r="U36" s="7">
        <f t="shared" si="43"/>
        <v>64.22413793103449</v>
      </c>
      <c r="V36" s="57">
        <v>69.6</v>
      </c>
      <c r="W36" s="57">
        <v>45</v>
      </c>
      <c r="X36" s="32">
        <f t="shared" si="9"/>
        <v>-24.599999999999994</v>
      </c>
      <c r="Y36" s="32">
        <f>W36/V36%</f>
        <v>64.65517241379311</v>
      </c>
      <c r="Z36" s="38">
        <f t="shared" si="37"/>
        <v>208.79999999999998</v>
      </c>
      <c r="AA36" s="38">
        <f t="shared" si="26"/>
        <v>134.1</v>
      </c>
      <c r="AB36" s="38">
        <f t="shared" si="27"/>
        <v>-74.69999999999999</v>
      </c>
      <c r="AC36" s="38">
        <f t="shared" si="58"/>
        <v>64.22413793103449</v>
      </c>
      <c r="AD36" s="57">
        <v>69.6</v>
      </c>
      <c r="AE36" s="57">
        <v>44.8</v>
      </c>
      <c r="AF36" s="32">
        <f t="shared" si="28"/>
        <v>-24.799999999999997</v>
      </c>
      <c r="AG36" s="32">
        <f t="shared" si="52"/>
        <v>64.36781609195403</v>
      </c>
      <c r="AH36" s="57">
        <v>69.6</v>
      </c>
      <c r="AI36" s="57">
        <v>44.8</v>
      </c>
      <c r="AJ36" s="32">
        <f t="shared" si="11"/>
        <v>-24.799999999999997</v>
      </c>
      <c r="AK36" s="32">
        <f t="shared" si="39"/>
        <v>64.36781609195403</v>
      </c>
      <c r="AL36" s="57">
        <v>69.6</v>
      </c>
      <c r="AM36" s="57">
        <v>44.5</v>
      </c>
      <c r="AN36" s="32">
        <f t="shared" si="12"/>
        <v>-25.099999999999994</v>
      </c>
      <c r="AO36" s="32">
        <f t="shared" si="13"/>
        <v>63.93678160919541</v>
      </c>
      <c r="AP36" s="40">
        <f t="shared" si="66"/>
        <v>556.8</v>
      </c>
      <c r="AQ36" s="41">
        <f t="shared" si="66"/>
        <v>488.29999999999995</v>
      </c>
      <c r="AR36" s="41">
        <f t="shared" si="14"/>
        <v>-68.5</v>
      </c>
      <c r="AS36" s="42">
        <f t="shared" si="55"/>
        <v>87.69755747126436</v>
      </c>
      <c r="AT36" s="37">
        <f t="shared" si="50"/>
        <v>139.2</v>
      </c>
      <c r="AU36" s="38">
        <f t="shared" si="60"/>
        <v>219.29999999999998</v>
      </c>
      <c r="AV36" s="38">
        <f t="shared" si="40"/>
        <v>80.1</v>
      </c>
      <c r="AW36" s="43">
        <f t="shared" si="61"/>
        <v>157.54310344827587</v>
      </c>
      <c r="AX36" s="58">
        <v>69.6</v>
      </c>
      <c r="AY36" s="57">
        <v>44.6</v>
      </c>
      <c r="AZ36" s="32">
        <f t="shared" si="46"/>
        <v>-24.999999999999993</v>
      </c>
      <c r="BA36" s="44">
        <f>AY36/AX36%</f>
        <v>64.08045977011496</v>
      </c>
      <c r="BB36" s="58"/>
      <c r="BC36" s="57">
        <v>44.5</v>
      </c>
      <c r="BD36" s="32">
        <f t="shared" si="62"/>
        <v>44.5</v>
      </c>
      <c r="BE36" s="28"/>
      <c r="BF36" s="56">
        <v>69.6</v>
      </c>
      <c r="BG36" s="57">
        <v>130.2</v>
      </c>
      <c r="BH36" s="32">
        <f t="shared" si="63"/>
        <v>60.599999999999994</v>
      </c>
      <c r="BI36" s="28" t="s">
        <v>27</v>
      </c>
      <c r="BJ36" s="45">
        <f t="shared" si="32"/>
        <v>209.1</v>
      </c>
      <c r="BK36" s="38">
        <f t="shared" si="33"/>
        <v>0</v>
      </c>
      <c r="BL36" s="38">
        <f>BK36-BJ36</f>
        <v>-209.1</v>
      </c>
      <c r="BM36" s="43" t="s">
        <v>27</v>
      </c>
      <c r="BN36" s="374">
        <v>69.6</v>
      </c>
      <c r="BO36" s="57"/>
      <c r="BP36" s="7">
        <f t="shared" si="56"/>
        <v>-69.6</v>
      </c>
      <c r="BQ36" s="44" t="s">
        <v>27</v>
      </c>
      <c r="BR36" s="57">
        <v>69.6</v>
      </c>
      <c r="BS36" s="57"/>
      <c r="BT36" s="32">
        <f t="shared" si="65"/>
        <v>-69.6</v>
      </c>
      <c r="BU36" s="32" t="s">
        <v>27</v>
      </c>
      <c r="BV36" s="56">
        <v>69.9</v>
      </c>
      <c r="BW36" s="57"/>
      <c r="BX36" s="32">
        <f t="shared" si="57"/>
        <v>-69.9</v>
      </c>
      <c r="BY36" s="32">
        <f>BW36/BV36%</f>
        <v>0</v>
      </c>
    </row>
    <row r="37" spans="1:77" ht="21.75" customHeight="1">
      <c r="A37" s="63" t="s">
        <v>44</v>
      </c>
      <c r="B37" s="30">
        <f t="shared" si="67"/>
        <v>13275.6</v>
      </c>
      <c r="C37" s="31">
        <f t="shared" si="67"/>
        <v>15420.599999999999</v>
      </c>
      <c r="D37" s="33">
        <f t="shared" si="0"/>
        <v>2144.999999999998</v>
      </c>
      <c r="E37" s="385" t="s">
        <v>27</v>
      </c>
      <c r="F37" s="34">
        <f t="shared" si="2"/>
        <v>4906</v>
      </c>
      <c r="G37" s="35">
        <f t="shared" si="2"/>
        <v>12779.599999999999</v>
      </c>
      <c r="H37" s="35">
        <f t="shared" si="3"/>
        <v>7873.5999999999985</v>
      </c>
      <c r="I37" s="36">
        <f>G37/F37%</f>
        <v>260.4891969017529</v>
      </c>
      <c r="J37" s="37">
        <f t="shared" si="41"/>
        <v>0</v>
      </c>
      <c r="K37" s="38">
        <f t="shared" si="42"/>
        <v>9265.9</v>
      </c>
      <c r="L37" s="38">
        <f t="shared" si="5"/>
        <v>9265.9</v>
      </c>
      <c r="M37" s="43"/>
      <c r="N37" s="56"/>
      <c r="O37" s="57">
        <v>1036.7</v>
      </c>
      <c r="P37" s="32">
        <f t="shared" si="51"/>
        <v>1036.7</v>
      </c>
      <c r="Q37" s="32"/>
      <c r="R37" s="57"/>
      <c r="S37" s="57">
        <v>4252.6</v>
      </c>
      <c r="T37" s="32">
        <f t="shared" si="25"/>
        <v>4252.6</v>
      </c>
      <c r="U37" s="7"/>
      <c r="V37" s="57"/>
      <c r="W37" s="57">
        <v>3976.6</v>
      </c>
      <c r="X37" s="32">
        <f t="shared" si="9"/>
        <v>3976.6</v>
      </c>
      <c r="Y37" s="32"/>
      <c r="Z37" s="38">
        <f t="shared" si="37"/>
        <v>4906</v>
      </c>
      <c r="AA37" s="38">
        <f t="shared" si="26"/>
        <v>3513.7</v>
      </c>
      <c r="AB37" s="38">
        <f t="shared" si="27"/>
        <v>-1392.3000000000002</v>
      </c>
      <c r="AC37" s="38">
        <f t="shared" si="58"/>
        <v>71.62046473705666</v>
      </c>
      <c r="AD37" s="57"/>
      <c r="AE37" s="57">
        <v>2696.6</v>
      </c>
      <c r="AF37" s="32">
        <f t="shared" si="28"/>
        <v>2696.6</v>
      </c>
      <c r="AG37" s="32"/>
      <c r="AH37" s="57"/>
      <c r="AI37" s="57">
        <v>63</v>
      </c>
      <c r="AJ37" s="32">
        <f t="shared" si="11"/>
        <v>63</v>
      </c>
      <c r="AK37" s="7"/>
      <c r="AL37" s="57">
        <v>4906</v>
      </c>
      <c r="AM37" s="57">
        <v>754.1</v>
      </c>
      <c r="AN37" s="32">
        <f t="shared" si="12"/>
        <v>-4151.9</v>
      </c>
      <c r="AO37" s="32">
        <f t="shared" si="13"/>
        <v>15.370974317162657</v>
      </c>
      <c r="AP37" s="40">
        <f t="shared" si="66"/>
        <v>13275.6</v>
      </c>
      <c r="AQ37" s="41">
        <f t="shared" si="66"/>
        <v>15420.599999999999</v>
      </c>
      <c r="AR37" s="41">
        <f t="shared" si="14"/>
        <v>2144.999999999998</v>
      </c>
      <c r="AS37" s="42" t="s">
        <v>27</v>
      </c>
      <c r="AT37" s="37">
        <f t="shared" si="50"/>
        <v>8369.6</v>
      </c>
      <c r="AU37" s="38">
        <f t="shared" si="60"/>
        <v>2641</v>
      </c>
      <c r="AV37" s="38">
        <f t="shared" si="40"/>
        <v>-5728.6</v>
      </c>
      <c r="AW37" s="43">
        <f t="shared" si="61"/>
        <v>31.55467405849742</v>
      </c>
      <c r="AX37" s="58"/>
      <c r="AY37" s="57">
        <v>992</v>
      </c>
      <c r="AZ37" s="32">
        <f t="shared" si="46"/>
        <v>992</v>
      </c>
      <c r="BA37" s="44"/>
      <c r="BB37" s="58">
        <v>8369.6</v>
      </c>
      <c r="BC37" s="57">
        <f>485.6+2.6</f>
        <v>488.20000000000005</v>
      </c>
      <c r="BD37" s="32">
        <f t="shared" si="62"/>
        <v>-7881.400000000001</v>
      </c>
      <c r="BE37" s="28"/>
      <c r="BF37" s="56"/>
      <c r="BG37" s="57">
        <v>1160.8</v>
      </c>
      <c r="BH37" s="32">
        <f t="shared" si="63"/>
        <v>1160.8</v>
      </c>
      <c r="BI37" s="28"/>
      <c r="BJ37" s="45">
        <f t="shared" si="32"/>
        <v>0</v>
      </c>
      <c r="BK37" s="38">
        <f t="shared" si="33"/>
        <v>0</v>
      </c>
      <c r="BL37" s="38">
        <f>BK37-BJ37</f>
        <v>0</v>
      </c>
      <c r="BM37" s="497" t="e">
        <f t="shared" si="64"/>
        <v>#DIV/0!</v>
      </c>
      <c r="BN37" s="374"/>
      <c r="BO37" s="57"/>
      <c r="BP37" s="7">
        <f t="shared" si="56"/>
        <v>0</v>
      </c>
      <c r="BQ37" s="44" t="e">
        <f>BO37/BN37%</f>
        <v>#DIV/0!</v>
      </c>
      <c r="BR37" s="57"/>
      <c r="BS37" s="57"/>
      <c r="BT37" s="32">
        <f t="shared" si="65"/>
        <v>0</v>
      </c>
      <c r="BU37" s="32"/>
      <c r="BV37" s="56"/>
      <c r="BW37" s="57"/>
      <c r="BX37" s="32">
        <f t="shared" si="57"/>
        <v>0</v>
      </c>
      <c r="BY37" s="32" t="e">
        <f>BW37/BV37%</f>
        <v>#DIV/0!</v>
      </c>
    </row>
    <row r="38" spans="1:77" s="21" customFormat="1" ht="37.5" customHeight="1" thickBot="1">
      <c r="A38" s="64" t="s">
        <v>45</v>
      </c>
      <c r="B38" s="66">
        <f t="shared" si="67"/>
        <v>6618.4</v>
      </c>
      <c r="C38" s="67">
        <f t="shared" si="67"/>
        <v>9191.2</v>
      </c>
      <c r="D38" s="68">
        <f t="shared" si="0"/>
        <v>2572.800000000001</v>
      </c>
      <c r="E38" s="20">
        <f t="shared" si="1"/>
        <v>138.87344373262422</v>
      </c>
      <c r="F38" s="9">
        <f>J38+Z38</f>
        <v>3534.9</v>
      </c>
      <c r="G38" s="10">
        <f>K38+AA38</f>
        <v>5737.4</v>
      </c>
      <c r="H38" s="10">
        <f>G38-F38</f>
        <v>2202.4999999999995</v>
      </c>
      <c r="I38" s="258" t="s">
        <v>27</v>
      </c>
      <c r="J38" s="24">
        <f t="shared" si="41"/>
        <v>2329.8</v>
      </c>
      <c r="K38" s="496">
        <f t="shared" si="42"/>
        <v>2341.5</v>
      </c>
      <c r="L38" s="496">
        <f>K38-J38</f>
        <v>11.699999999999818</v>
      </c>
      <c r="M38" s="497">
        <f t="shared" si="59"/>
        <v>100.5021890291012</v>
      </c>
      <c r="N38" s="61">
        <v>1042.2</v>
      </c>
      <c r="O38" s="60">
        <v>399.2</v>
      </c>
      <c r="P38" s="7">
        <f t="shared" si="51"/>
        <v>-643</v>
      </c>
      <c r="Q38" s="7">
        <f>O38/N38%</f>
        <v>38.30358856265592</v>
      </c>
      <c r="R38" s="60">
        <v>427.1</v>
      </c>
      <c r="S38" s="60">
        <v>647.4</v>
      </c>
      <c r="T38" s="7">
        <f t="shared" si="25"/>
        <v>220.29999999999995</v>
      </c>
      <c r="U38" s="7">
        <f t="shared" si="43"/>
        <v>151.580426129712</v>
      </c>
      <c r="V38" s="60">
        <f>360.5+500</f>
        <v>860.5</v>
      </c>
      <c r="W38" s="60">
        <v>1294.9</v>
      </c>
      <c r="X38" s="7">
        <f t="shared" si="9"/>
        <v>434.4000000000001</v>
      </c>
      <c r="Y38" s="7" t="s">
        <v>117</v>
      </c>
      <c r="Z38" s="496">
        <f t="shared" si="37"/>
        <v>1205.1</v>
      </c>
      <c r="AA38" s="496">
        <f t="shared" si="26"/>
        <v>3395.8999999999996</v>
      </c>
      <c r="AB38" s="496">
        <f t="shared" si="27"/>
        <v>2190.7999999999997</v>
      </c>
      <c r="AC38" s="496" t="s">
        <v>27</v>
      </c>
      <c r="AD38" s="60">
        <v>324.4</v>
      </c>
      <c r="AE38" s="60">
        <v>1305.2</v>
      </c>
      <c r="AF38" s="7">
        <f t="shared" si="28"/>
        <v>980.8000000000001</v>
      </c>
      <c r="AG38" s="7" t="s">
        <v>27</v>
      </c>
      <c r="AH38" s="60">
        <v>487.7</v>
      </c>
      <c r="AI38" s="60">
        <v>969</v>
      </c>
      <c r="AJ38" s="7">
        <f t="shared" si="11"/>
        <v>481.3</v>
      </c>
      <c r="AK38" s="7" t="s">
        <v>27</v>
      </c>
      <c r="AL38" s="375">
        <v>393</v>
      </c>
      <c r="AM38" s="60">
        <v>1121.7</v>
      </c>
      <c r="AN38" s="7">
        <f t="shared" si="12"/>
        <v>728.7</v>
      </c>
      <c r="AO38" s="384" t="s">
        <v>27</v>
      </c>
      <c r="AP38" s="14">
        <f t="shared" si="66"/>
        <v>5364.8</v>
      </c>
      <c r="AQ38" s="15">
        <f>K38+AA38+AU38</f>
        <v>9191.2</v>
      </c>
      <c r="AR38" s="15">
        <f>AQ38-AP38</f>
        <v>3826.4000000000005</v>
      </c>
      <c r="AS38" s="16">
        <f t="shared" si="55"/>
        <v>171.32418729495973</v>
      </c>
      <c r="AT38" s="24">
        <f t="shared" si="50"/>
        <v>1829.9</v>
      </c>
      <c r="AU38" s="496">
        <f t="shared" si="60"/>
        <v>3453.8</v>
      </c>
      <c r="AV38" s="496">
        <f t="shared" si="40"/>
        <v>1623.9</v>
      </c>
      <c r="AW38" s="43">
        <f t="shared" si="61"/>
        <v>188.7425542379365</v>
      </c>
      <c r="AX38" s="376">
        <v>485.5</v>
      </c>
      <c r="AY38" s="60">
        <v>1696.2</v>
      </c>
      <c r="AZ38" s="7">
        <f t="shared" si="46"/>
        <v>1210.7</v>
      </c>
      <c r="BA38" s="19" t="s">
        <v>27</v>
      </c>
      <c r="BB38" s="377">
        <f>589.5+414.7</f>
        <v>1004.2</v>
      </c>
      <c r="BC38" s="70">
        <f>949.5+125.6</f>
        <v>1075.1</v>
      </c>
      <c r="BD38" s="82">
        <f>BC38-BB38</f>
        <v>70.89999999999986</v>
      </c>
      <c r="BE38" s="18" t="s">
        <v>27</v>
      </c>
      <c r="BF38" s="378">
        <v>340.2</v>
      </c>
      <c r="BG38" s="70">
        <v>682.5</v>
      </c>
      <c r="BH38" s="71">
        <f>BG38-BF38</f>
        <v>342.3</v>
      </c>
      <c r="BI38" s="28" t="s">
        <v>27</v>
      </c>
      <c r="BJ38" s="26">
        <f t="shared" si="32"/>
        <v>1253.6</v>
      </c>
      <c r="BK38" s="496">
        <f t="shared" si="33"/>
        <v>0</v>
      </c>
      <c r="BL38" s="496">
        <f>BK38-BJ38</f>
        <v>-1253.6</v>
      </c>
      <c r="BM38" s="497">
        <f>BK38/BJ38%</f>
        <v>0</v>
      </c>
      <c r="BN38" s="376">
        <v>399.3</v>
      </c>
      <c r="BO38" s="60"/>
      <c r="BP38" s="7">
        <f t="shared" si="56"/>
        <v>-399.3</v>
      </c>
      <c r="BQ38" s="44" t="s">
        <v>27</v>
      </c>
      <c r="BR38" s="375">
        <v>336.3</v>
      </c>
      <c r="BS38" s="60"/>
      <c r="BT38" s="7">
        <f t="shared" si="65"/>
        <v>-336.3</v>
      </c>
      <c r="BU38" s="32" t="s">
        <v>27</v>
      </c>
      <c r="BV38" s="336">
        <v>518</v>
      </c>
      <c r="BW38" s="60"/>
      <c r="BX38" s="7">
        <f t="shared" si="57"/>
        <v>-518</v>
      </c>
      <c r="BY38" s="7">
        <f>BW38/BV38%</f>
        <v>0</v>
      </c>
    </row>
    <row r="39" spans="1:77" s="97" customFormat="1" ht="24" customHeight="1" thickBot="1">
      <c r="A39" s="259" t="s">
        <v>46</v>
      </c>
      <c r="B39" s="72">
        <f t="shared" si="67"/>
        <v>0</v>
      </c>
      <c r="C39" s="73">
        <f t="shared" si="67"/>
        <v>0</v>
      </c>
      <c r="D39" s="74">
        <f t="shared" si="0"/>
        <v>0</v>
      </c>
      <c r="E39" s="75"/>
      <c r="F39" s="76">
        <f>J39+Z39</f>
        <v>0</v>
      </c>
      <c r="G39" s="77">
        <f>K39+AA39</f>
        <v>0</v>
      </c>
      <c r="H39" s="77">
        <f>G39-F39</f>
        <v>0</v>
      </c>
      <c r="I39" s="78"/>
      <c r="J39" s="79">
        <f t="shared" si="41"/>
        <v>0</v>
      </c>
      <c r="K39" s="80">
        <f t="shared" si="42"/>
        <v>0</v>
      </c>
      <c r="L39" s="80">
        <f>K39-J39</f>
        <v>0</v>
      </c>
      <c r="M39" s="96"/>
      <c r="N39" s="81"/>
      <c r="O39" s="70"/>
      <c r="P39" s="82">
        <f>O39-N39</f>
        <v>0</v>
      </c>
      <c r="Q39" s="260"/>
      <c r="R39" s="70"/>
      <c r="S39" s="70"/>
      <c r="T39" s="82">
        <f>S39-R39</f>
        <v>0</v>
      </c>
      <c r="U39" s="7"/>
      <c r="V39" s="70"/>
      <c r="W39" s="70"/>
      <c r="X39" s="71">
        <f>W39-V39</f>
        <v>0</v>
      </c>
      <c r="Y39" s="71"/>
      <c r="Z39" s="80">
        <f t="shared" si="37"/>
        <v>0</v>
      </c>
      <c r="AA39" s="80">
        <f t="shared" si="26"/>
        <v>0</v>
      </c>
      <c r="AB39" s="80">
        <f t="shared" si="27"/>
        <v>0</v>
      </c>
      <c r="AC39" s="80"/>
      <c r="AD39" s="70"/>
      <c r="AE39" s="70"/>
      <c r="AF39" s="82">
        <f>AE39-AD39</f>
        <v>0</v>
      </c>
      <c r="AG39" s="71"/>
      <c r="AH39" s="70"/>
      <c r="AI39" s="70"/>
      <c r="AJ39" s="82">
        <f>AI39-AH39</f>
        <v>0</v>
      </c>
      <c r="AK39" s="7"/>
      <c r="AL39" s="60"/>
      <c r="AM39" s="60"/>
      <c r="AN39" s="7">
        <f>AM39-AL39</f>
        <v>0</v>
      </c>
      <c r="AO39" s="32"/>
      <c r="AP39" s="83">
        <f t="shared" si="66"/>
        <v>0</v>
      </c>
      <c r="AQ39" s="84">
        <f>K39+AA39+AU39</f>
        <v>0</v>
      </c>
      <c r="AR39" s="84">
        <f>AQ39-AP39</f>
        <v>0</v>
      </c>
      <c r="AS39" s="85"/>
      <c r="AT39" s="86">
        <f t="shared" si="50"/>
        <v>0</v>
      </c>
      <c r="AU39" s="87">
        <f t="shared" si="60"/>
        <v>0</v>
      </c>
      <c r="AV39" s="87">
        <f t="shared" si="40"/>
        <v>0</v>
      </c>
      <c r="AW39" s="88"/>
      <c r="AX39" s="89"/>
      <c r="AY39" s="90"/>
      <c r="AZ39" s="91">
        <f>AY39-AX39</f>
        <v>0</v>
      </c>
      <c r="BA39" s="92"/>
      <c r="BB39" s="89"/>
      <c r="BC39" s="90"/>
      <c r="BD39" s="91">
        <f>BC39-BB39</f>
        <v>0</v>
      </c>
      <c r="BE39" s="93"/>
      <c r="BF39" s="69"/>
      <c r="BG39" s="90"/>
      <c r="BH39" s="82">
        <f>BG39-BF39</f>
        <v>0</v>
      </c>
      <c r="BI39" s="94"/>
      <c r="BJ39" s="95">
        <f t="shared" si="32"/>
        <v>0</v>
      </c>
      <c r="BK39" s="80">
        <f t="shared" si="33"/>
        <v>0</v>
      </c>
      <c r="BL39" s="80">
        <f>BK39-BJ39</f>
        <v>0</v>
      </c>
      <c r="BM39" s="96"/>
      <c r="BN39" s="69"/>
      <c r="BO39" s="70"/>
      <c r="BP39" s="82">
        <f t="shared" si="56"/>
        <v>0</v>
      </c>
      <c r="BQ39" s="44"/>
      <c r="BR39" s="60"/>
      <c r="BS39" s="60"/>
      <c r="BT39" s="7">
        <f>BS39-BR39</f>
        <v>0</v>
      </c>
      <c r="BU39" s="7"/>
      <c r="BV39" s="61"/>
      <c r="BW39" s="60"/>
      <c r="BX39" s="7">
        <f t="shared" si="57"/>
        <v>0</v>
      </c>
      <c r="BY39" s="32"/>
    </row>
    <row r="40" spans="1:69" ht="20.25">
      <c r="A40" s="261"/>
      <c r="B40" s="262"/>
      <c r="C40" s="263"/>
      <c r="D40" s="262"/>
      <c r="E40" s="262"/>
      <c r="F40" s="262"/>
      <c r="G40" s="262"/>
      <c r="H40" s="262"/>
      <c r="I40" s="262"/>
      <c r="J40" s="262"/>
      <c r="K40" s="262"/>
      <c r="L40" s="262"/>
      <c r="M40" s="264"/>
      <c r="N40" s="265"/>
      <c r="O40" s="265"/>
      <c r="P40" s="265"/>
      <c r="Q40" s="266"/>
      <c r="R40" s="265"/>
      <c r="S40" s="265"/>
      <c r="T40" s="265"/>
      <c r="U40" s="267"/>
      <c r="V40" s="265"/>
      <c r="W40" s="265" t="s">
        <v>106</v>
      </c>
      <c r="X40" s="265"/>
      <c r="Y40" s="268"/>
      <c r="Z40" s="262"/>
      <c r="AA40" s="262"/>
      <c r="AB40" s="262"/>
      <c r="AC40" s="262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2"/>
      <c r="AU40" s="262"/>
      <c r="AV40" s="262"/>
      <c r="AW40" s="269"/>
      <c r="AX40" s="263"/>
      <c r="AY40" s="263"/>
      <c r="AZ40" s="263"/>
      <c r="BA40" s="263"/>
      <c r="BB40" s="263"/>
      <c r="BC40" s="263" t="s">
        <v>106</v>
      </c>
      <c r="BD40" s="263"/>
      <c r="BE40" s="263"/>
      <c r="BF40" s="263"/>
      <c r="BG40" s="263"/>
      <c r="BH40" s="263"/>
      <c r="BI40" s="263"/>
      <c r="BJ40" s="263"/>
      <c r="BK40" s="262"/>
      <c r="BL40" s="262"/>
      <c r="BM40" s="262"/>
      <c r="BN40" s="263"/>
      <c r="BO40" s="263"/>
      <c r="BP40" s="263"/>
      <c r="BQ40" s="263"/>
    </row>
    <row r="41" spans="2:69" ht="20.25">
      <c r="B41" s="262"/>
      <c r="C41" s="263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3"/>
      <c r="O41" s="263"/>
      <c r="P41" s="263"/>
      <c r="R41" s="263"/>
      <c r="S41" s="263"/>
      <c r="T41" s="263"/>
      <c r="V41" s="263"/>
      <c r="W41" s="263"/>
      <c r="X41" s="263"/>
      <c r="Z41" s="262"/>
      <c r="AA41" s="262"/>
      <c r="AB41" s="262"/>
      <c r="AC41" s="262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2"/>
      <c r="AU41" s="262"/>
      <c r="AV41" s="262"/>
      <c r="AW41" s="269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2"/>
      <c r="BL41" s="262"/>
      <c r="BM41" s="262"/>
      <c r="BN41" s="263"/>
      <c r="BO41" s="263"/>
      <c r="BP41" s="263"/>
      <c r="BQ41" s="263"/>
    </row>
    <row r="42" spans="2:69" ht="20.25">
      <c r="B42" s="262"/>
      <c r="C42" s="270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3"/>
      <c r="O42" s="263"/>
      <c r="P42" s="263"/>
      <c r="R42" s="263"/>
      <c r="S42" s="263"/>
      <c r="T42" s="263"/>
      <c r="V42" s="263"/>
      <c r="W42" s="263"/>
      <c r="X42" s="263"/>
      <c r="Z42" s="262"/>
      <c r="AA42" s="262"/>
      <c r="AB42" s="262"/>
      <c r="AC42" s="262"/>
      <c r="AD42" s="263"/>
      <c r="AE42" s="271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2"/>
      <c r="AU42" s="262"/>
      <c r="AV42" s="262"/>
      <c r="AW42" s="269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2"/>
      <c r="BL42" s="262"/>
      <c r="BM42" s="262"/>
      <c r="BN42" s="263"/>
      <c r="BO42" s="263"/>
      <c r="BP42" s="263"/>
      <c r="BQ42" s="263"/>
    </row>
    <row r="43" spans="2:69" ht="20.25">
      <c r="B43" s="262"/>
      <c r="C43" s="270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3"/>
      <c r="O43" s="263"/>
      <c r="P43" s="263"/>
      <c r="R43" s="263"/>
      <c r="S43" s="263"/>
      <c r="T43" s="263"/>
      <c r="V43" s="263"/>
      <c r="W43" s="263"/>
      <c r="X43" s="263"/>
      <c r="Z43" s="262"/>
      <c r="AA43" s="262"/>
      <c r="AB43" s="262"/>
      <c r="AC43" s="262"/>
      <c r="AD43" s="263"/>
      <c r="AE43" s="271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2"/>
      <c r="AU43" s="262"/>
      <c r="AV43" s="262"/>
      <c r="AW43" s="269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2"/>
      <c r="BL43" s="262"/>
      <c r="BM43" s="262"/>
      <c r="BN43" s="263"/>
      <c r="BO43" s="263"/>
      <c r="BP43" s="263"/>
      <c r="BQ43" s="263"/>
    </row>
    <row r="44" spans="2:69" ht="20.25">
      <c r="B44" s="262"/>
      <c r="C44" s="270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3"/>
      <c r="O44" s="263"/>
      <c r="P44" s="263"/>
      <c r="R44" s="263"/>
      <c r="S44" s="263"/>
      <c r="T44" s="263"/>
      <c r="V44" s="263"/>
      <c r="W44" s="263"/>
      <c r="X44" s="263"/>
      <c r="Z44" s="262"/>
      <c r="AA44" s="262"/>
      <c r="AB44" s="262"/>
      <c r="AC44" s="262"/>
      <c r="AD44" s="263"/>
      <c r="AE44" s="271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2"/>
      <c r="AU44" s="262"/>
      <c r="AV44" s="262"/>
      <c r="AW44" s="269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2"/>
      <c r="BL44" s="262"/>
      <c r="BM44" s="262"/>
      <c r="BN44" s="263"/>
      <c r="BO44" s="263"/>
      <c r="BP44" s="263"/>
      <c r="BQ44" s="263"/>
    </row>
    <row r="45" spans="2:69" ht="20.25">
      <c r="B45" s="262"/>
      <c r="C45" s="263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3"/>
      <c r="O45" s="263"/>
      <c r="P45" s="263"/>
      <c r="R45" s="263"/>
      <c r="S45" s="263"/>
      <c r="T45" s="263"/>
      <c r="V45" s="263"/>
      <c r="W45" s="263"/>
      <c r="X45" s="263"/>
      <c r="Z45" s="262"/>
      <c r="AA45" s="262"/>
      <c r="AB45" s="262"/>
      <c r="AC45" s="262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2"/>
      <c r="AU45" s="262"/>
      <c r="AV45" s="262"/>
      <c r="AW45" s="269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2"/>
      <c r="BL45" s="262"/>
      <c r="BM45" s="262"/>
      <c r="BN45" s="263"/>
      <c r="BO45" s="263"/>
      <c r="BP45" s="263"/>
      <c r="BQ45" s="263"/>
    </row>
    <row r="46" spans="2:69" ht="20.25">
      <c r="B46" s="262"/>
      <c r="C46" s="263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3"/>
      <c r="O46" s="263"/>
      <c r="P46" s="263"/>
      <c r="R46" s="263"/>
      <c r="S46" s="263"/>
      <c r="T46" s="263"/>
      <c r="V46" s="263"/>
      <c r="W46" s="263"/>
      <c r="X46" s="263"/>
      <c r="Z46" s="262"/>
      <c r="AA46" s="262"/>
      <c r="AB46" s="262"/>
      <c r="AC46" s="262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2"/>
      <c r="AU46" s="262"/>
      <c r="AV46" s="262"/>
      <c r="AW46" s="269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2"/>
      <c r="BL46" s="262"/>
      <c r="BM46" s="262"/>
      <c r="BN46" s="263"/>
      <c r="BO46" s="263"/>
      <c r="BP46" s="263"/>
      <c r="BQ46" s="263"/>
    </row>
    <row r="47" spans="2:69" ht="20.25">
      <c r="B47" s="262"/>
      <c r="C47" s="263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3"/>
      <c r="O47" s="263"/>
      <c r="P47" s="263"/>
      <c r="R47" s="263"/>
      <c r="S47" s="263"/>
      <c r="T47" s="263"/>
      <c r="V47" s="263"/>
      <c r="W47" s="263"/>
      <c r="X47" s="263"/>
      <c r="Z47" s="262"/>
      <c r="AA47" s="262"/>
      <c r="AB47" s="262"/>
      <c r="AC47" s="262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2"/>
      <c r="AU47" s="262"/>
      <c r="AV47" s="262"/>
      <c r="AW47" s="269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2"/>
      <c r="BL47" s="262"/>
      <c r="BM47" s="262"/>
      <c r="BN47" s="263"/>
      <c r="BO47" s="263"/>
      <c r="BP47" s="263"/>
      <c r="BQ47" s="263"/>
    </row>
    <row r="48" spans="2:69" ht="20.25">
      <c r="B48" s="262"/>
      <c r="C48" s="263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3"/>
      <c r="O48" s="263"/>
      <c r="P48" s="263"/>
      <c r="R48" s="263"/>
      <c r="S48" s="263"/>
      <c r="T48" s="263"/>
      <c r="V48" s="263"/>
      <c r="W48" s="263"/>
      <c r="X48" s="263"/>
      <c r="Z48" s="262"/>
      <c r="AA48" s="262"/>
      <c r="AB48" s="262"/>
      <c r="AC48" s="262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2"/>
      <c r="AU48" s="262"/>
      <c r="AV48" s="262"/>
      <c r="AW48" s="269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2"/>
      <c r="BL48" s="262"/>
      <c r="BM48" s="262"/>
      <c r="BN48" s="263"/>
      <c r="BO48" s="263"/>
      <c r="BP48" s="263"/>
      <c r="BQ48" s="263"/>
    </row>
    <row r="49" spans="2:69" ht="20.25">
      <c r="B49" s="262"/>
      <c r="C49" s="263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3"/>
      <c r="O49" s="263"/>
      <c r="P49" s="263"/>
      <c r="R49" s="263"/>
      <c r="S49" s="263"/>
      <c r="T49" s="263"/>
      <c r="V49" s="263"/>
      <c r="W49" s="263"/>
      <c r="X49" s="263"/>
      <c r="Z49" s="262"/>
      <c r="AA49" s="262"/>
      <c r="AB49" s="262"/>
      <c r="AC49" s="262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2"/>
      <c r="AU49" s="262"/>
      <c r="AV49" s="262"/>
      <c r="AW49" s="269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2"/>
      <c r="BL49" s="262"/>
      <c r="BM49" s="262"/>
      <c r="BN49" s="263"/>
      <c r="BO49" s="263"/>
      <c r="BP49" s="263"/>
      <c r="BQ49" s="263"/>
    </row>
    <row r="50" spans="2:69" ht="20.25">
      <c r="B50" s="262"/>
      <c r="C50" s="263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3"/>
      <c r="O50" s="263"/>
      <c r="P50" s="263"/>
      <c r="R50" s="263"/>
      <c r="S50" s="263"/>
      <c r="T50" s="263"/>
      <c r="V50" s="263"/>
      <c r="W50" s="263"/>
      <c r="X50" s="263"/>
      <c r="Z50" s="262"/>
      <c r="AA50" s="262"/>
      <c r="AB50" s="262"/>
      <c r="AC50" s="262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2"/>
      <c r="AU50" s="262"/>
      <c r="AV50" s="262"/>
      <c r="AW50" s="269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2"/>
      <c r="BL50" s="262"/>
      <c r="BM50" s="262"/>
      <c r="BN50" s="263"/>
      <c r="BO50" s="263"/>
      <c r="BP50" s="263"/>
      <c r="BQ50" s="263"/>
    </row>
    <row r="51" spans="2:69" ht="20.25">
      <c r="B51" s="262"/>
      <c r="C51" s="263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3"/>
      <c r="O51" s="263"/>
      <c r="P51" s="263"/>
      <c r="R51" s="263"/>
      <c r="S51" s="263"/>
      <c r="T51" s="263"/>
      <c r="V51" s="263"/>
      <c r="W51" s="263"/>
      <c r="X51" s="263"/>
      <c r="Z51" s="262"/>
      <c r="AA51" s="262"/>
      <c r="AB51" s="262"/>
      <c r="AC51" s="262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2"/>
      <c r="AU51" s="262"/>
      <c r="AV51" s="262"/>
      <c r="AW51" s="269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2"/>
      <c r="BL51" s="262"/>
      <c r="BM51" s="262"/>
      <c r="BN51" s="263"/>
      <c r="BO51" s="263"/>
      <c r="BP51" s="263"/>
      <c r="BQ51" s="263"/>
    </row>
    <row r="52" spans="2:69" ht="20.25">
      <c r="B52" s="262"/>
      <c r="C52" s="263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3"/>
      <c r="O52" s="263"/>
      <c r="P52" s="263"/>
      <c r="R52" s="263"/>
      <c r="S52" s="263"/>
      <c r="T52" s="263"/>
      <c r="V52" s="263"/>
      <c r="W52" s="263"/>
      <c r="X52" s="263"/>
      <c r="Z52" s="262"/>
      <c r="AA52" s="262"/>
      <c r="AB52" s="262"/>
      <c r="AC52" s="262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2"/>
      <c r="AU52" s="262"/>
      <c r="AV52" s="262"/>
      <c r="AW52" s="269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2"/>
      <c r="BL52" s="262"/>
      <c r="BM52" s="262"/>
      <c r="BN52" s="263"/>
      <c r="BO52" s="263"/>
      <c r="BP52" s="263"/>
      <c r="BQ52" s="263"/>
    </row>
    <row r="53" spans="2:69" ht="20.25">
      <c r="B53" s="262"/>
      <c r="C53" s="263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3"/>
      <c r="O53" s="263"/>
      <c r="P53" s="263"/>
      <c r="R53" s="263"/>
      <c r="S53" s="263"/>
      <c r="T53" s="263"/>
      <c r="V53" s="263"/>
      <c r="W53" s="263"/>
      <c r="X53" s="263"/>
      <c r="Z53" s="262"/>
      <c r="AA53" s="262"/>
      <c r="AB53" s="262"/>
      <c r="AC53" s="262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2"/>
      <c r="AU53" s="262"/>
      <c r="AV53" s="262"/>
      <c r="AW53" s="269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2"/>
      <c r="BL53" s="262"/>
      <c r="BM53" s="262"/>
      <c r="BN53" s="263"/>
      <c r="BO53" s="263"/>
      <c r="BP53" s="263"/>
      <c r="BQ53" s="263"/>
    </row>
    <row r="54" spans="1:69" s="1" customFormat="1" ht="20.25">
      <c r="A54" s="98"/>
      <c r="B54" s="262"/>
      <c r="C54" s="263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3"/>
      <c r="O54" s="263"/>
      <c r="P54" s="263"/>
      <c r="Q54" s="224"/>
      <c r="R54" s="263"/>
      <c r="S54" s="263"/>
      <c r="T54" s="263"/>
      <c r="V54" s="263"/>
      <c r="W54" s="263"/>
      <c r="X54" s="263"/>
      <c r="Y54" s="2"/>
      <c r="Z54" s="262"/>
      <c r="AA54" s="262"/>
      <c r="AB54" s="262"/>
      <c r="AC54" s="262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2"/>
      <c r="AU54" s="262"/>
      <c r="AV54" s="262"/>
      <c r="AW54" s="269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2"/>
      <c r="BL54" s="262"/>
      <c r="BM54" s="262"/>
      <c r="BN54" s="263"/>
      <c r="BO54" s="263"/>
      <c r="BP54" s="263"/>
      <c r="BQ54" s="263"/>
    </row>
    <row r="55" spans="1:69" s="1" customFormat="1" ht="20.25">
      <c r="A55" s="98"/>
      <c r="B55" s="262"/>
      <c r="C55" s="263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3"/>
      <c r="O55" s="263"/>
      <c r="P55" s="263"/>
      <c r="Q55" s="224"/>
      <c r="R55" s="263"/>
      <c r="S55" s="263"/>
      <c r="T55" s="263"/>
      <c r="V55" s="263"/>
      <c r="W55" s="263"/>
      <c r="X55" s="263"/>
      <c r="Y55" s="2"/>
      <c r="Z55" s="262"/>
      <c r="AA55" s="262"/>
      <c r="AB55" s="262"/>
      <c r="AC55" s="262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2"/>
      <c r="AU55" s="262"/>
      <c r="AV55" s="262"/>
      <c r="AW55" s="269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2"/>
      <c r="BL55" s="262"/>
      <c r="BM55" s="262"/>
      <c r="BN55" s="263"/>
      <c r="BO55" s="263"/>
      <c r="BP55" s="263"/>
      <c r="BQ55" s="263"/>
    </row>
    <row r="56" spans="1:69" s="1" customFormat="1" ht="20.25">
      <c r="A56" s="98"/>
      <c r="B56" s="262"/>
      <c r="C56" s="263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3"/>
      <c r="O56" s="263"/>
      <c r="P56" s="263"/>
      <c r="Q56" s="224"/>
      <c r="R56" s="263"/>
      <c r="S56" s="263"/>
      <c r="T56" s="263"/>
      <c r="V56" s="263"/>
      <c r="W56" s="263"/>
      <c r="X56" s="263"/>
      <c r="Y56" s="2"/>
      <c r="Z56" s="262"/>
      <c r="AA56" s="262"/>
      <c r="AB56" s="262"/>
      <c r="AC56" s="262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2"/>
      <c r="AU56" s="262"/>
      <c r="AV56" s="262"/>
      <c r="AW56" s="269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2"/>
      <c r="BL56" s="262"/>
      <c r="BM56" s="262"/>
      <c r="BN56" s="263"/>
      <c r="BO56" s="263"/>
      <c r="BP56" s="263"/>
      <c r="BQ56" s="263"/>
    </row>
    <row r="57" spans="1:69" s="1" customFormat="1" ht="20.25">
      <c r="A57" s="98"/>
      <c r="B57" s="262"/>
      <c r="C57" s="263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3"/>
      <c r="O57" s="263"/>
      <c r="P57" s="263"/>
      <c r="Q57" s="224"/>
      <c r="R57" s="263"/>
      <c r="S57" s="263"/>
      <c r="T57" s="263"/>
      <c r="V57" s="263"/>
      <c r="W57" s="263"/>
      <c r="X57" s="263"/>
      <c r="Y57" s="2"/>
      <c r="Z57" s="262"/>
      <c r="AA57" s="262"/>
      <c r="AB57" s="262"/>
      <c r="AC57" s="262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2"/>
      <c r="AU57" s="262"/>
      <c r="AV57" s="262"/>
      <c r="AW57" s="269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2"/>
      <c r="BL57" s="262"/>
      <c r="BM57" s="262"/>
      <c r="BN57" s="263"/>
      <c r="BO57" s="263"/>
      <c r="BP57" s="263"/>
      <c r="BQ57" s="263"/>
    </row>
    <row r="58" spans="1:69" s="1" customFormat="1" ht="20.25">
      <c r="A58" s="98"/>
      <c r="B58" s="262"/>
      <c r="C58" s="263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3"/>
      <c r="O58" s="263"/>
      <c r="P58" s="263"/>
      <c r="Q58" s="224"/>
      <c r="R58" s="263"/>
      <c r="S58" s="263"/>
      <c r="T58" s="263"/>
      <c r="V58" s="263"/>
      <c r="W58" s="263"/>
      <c r="X58" s="263"/>
      <c r="Y58" s="2"/>
      <c r="Z58" s="262"/>
      <c r="AA58" s="262"/>
      <c r="AB58" s="262"/>
      <c r="AC58" s="262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2"/>
      <c r="AU58" s="262"/>
      <c r="AV58" s="262"/>
      <c r="AW58" s="269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2"/>
      <c r="BL58" s="262"/>
      <c r="BM58" s="262"/>
      <c r="BN58" s="263"/>
      <c r="BO58" s="263"/>
      <c r="BP58" s="263"/>
      <c r="BQ58" s="263"/>
    </row>
    <row r="59" spans="1:69" s="1" customFormat="1" ht="20.25">
      <c r="A59" s="98"/>
      <c r="B59" s="262"/>
      <c r="C59" s="263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3"/>
      <c r="O59" s="263"/>
      <c r="P59" s="263"/>
      <c r="Q59" s="224"/>
      <c r="R59" s="263"/>
      <c r="S59" s="263"/>
      <c r="T59" s="263"/>
      <c r="V59" s="263"/>
      <c r="W59" s="263"/>
      <c r="X59" s="263"/>
      <c r="Y59" s="2"/>
      <c r="Z59" s="262"/>
      <c r="AA59" s="262"/>
      <c r="AB59" s="262"/>
      <c r="AC59" s="262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2"/>
      <c r="AU59" s="262"/>
      <c r="AV59" s="262"/>
      <c r="AW59" s="269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2"/>
      <c r="BL59" s="262"/>
      <c r="BM59" s="262"/>
      <c r="BN59" s="263"/>
      <c r="BO59" s="263"/>
      <c r="BP59" s="263"/>
      <c r="BQ59" s="263"/>
    </row>
    <row r="60" spans="1:69" s="1" customFormat="1" ht="20.25">
      <c r="A60" s="98"/>
      <c r="B60" s="262"/>
      <c r="C60" s="263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3"/>
      <c r="O60" s="263"/>
      <c r="P60" s="263"/>
      <c r="Q60" s="224"/>
      <c r="R60" s="263"/>
      <c r="S60" s="263"/>
      <c r="T60" s="263"/>
      <c r="V60" s="263"/>
      <c r="W60" s="263"/>
      <c r="X60" s="263"/>
      <c r="Y60" s="2"/>
      <c r="Z60" s="262"/>
      <c r="AA60" s="262"/>
      <c r="AB60" s="262"/>
      <c r="AC60" s="262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2"/>
      <c r="AU60" s="262"/>
      <c r="AV60" s="262"/>
      <c r="AW60" s="269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2"/>
      <c r="BL60" s="262"/>
      <c r="BM60" s="262"/>
      <c r="BN60" s="263"/>
      <c r="BO60" s="263"/>
      <c r="BP60" s="263"/>
      <c r="BQ60" s="263"/>
    </row>
  </sheetData>
  <sheetProtection/>
  <mergeCells count="78">
    <mergeCell ref="AR3:AS3"/>
    <mergeCell ref="AV3:AW3"/>
    <mergeCell ref="BN3:BN4"/>
    <mergeCell ref="Z3:Z4"/>
    <mergeCell ref="AA3:AA4"/>
    <mergeCell ref="R3:R4"/>
    <mergeCell ref="S3:S4"/>
    <mergeCell ref="T3:U3"/>
    <mergeCell ref="V3:V4"/>
    <mergeCell ref="BF3:BF4"/>
    <mergeCell ref="A1:Q1"/>
    <mergeCell ref="BD3:BE3"/>
    <mergeCell ref="W3:W4"/>
    <mergeCell ref="X3:Y3"/>
    <mergeCell ref="AE3:AE4"/>
    <mergeCell ref="AF3:AG3"/>
    <mergeCell ref="AU3:AU4"/>
    <mergeCell ref="AN3:AO3"/>
    <mergeCell ref="AP3:AP4"/>
    <mergeCell ref="AQ3:AQ4"/>
    <mergeCell ref="BG3:BG4"/>
    <mergeCell ref="BH3:BI3"/>
    <mergeCell ref="BJ3:BJ4"/>
    <mergeCell ref="AX3:AX4"/>
    <mergeCell ref="BK3:BK4"/>
    <mergeCell ref="BC3:BC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B3:AC3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6" width="10.25390625" style="0" customWidth="1"/>
    <col min="7" max="7" width="11.00390625" style="0" customWidth="1"/>
    <col min="8" max="8" width="10.00390625" style="0" customWidth="1"/>
    <col min="9" max="9" width="10.375" style="0" customWidth="1"/>
    <col min="10" max="10" width="10.00390625" style="0" customWidth="1"/>
    <col min="11" max="11" width="10.125" style="0" customWidth="1"/>
    <col min="12" max="13" width="9.375" style="0" customWidth="1"/>
    <col min="14" max="15" width="9.25390625" style="0" customWidth="1"/>
    <col min="16" max="16" width="10.375" style="0" customWidth="1"/>
    <col min="17" max="17" width="10.00390625" style="0" customWidth="1"/>
    <col min="18" max="18" width="9.375" style="0" customWidth="1"/>
    <col min="19" max="20" width="9.25390625" style="0" customWidth="1"/>
    <col min="21" max="21" width="9.75390625" style="0" customWidth="1"/>
    <col min="22" max="22" width="9.25390625" style="0" customWidth="1"/>
    <col min="23" max="23" width="10.25390625" style="0" customWidth="1"/>
    <col min="24" max="24" width="10.00390625" style="0" customWidth="1"/>
    <col min="25" max="25" width="10.25390625" style="0" customWidth="1"/>
    <col min="26" max="27" width="9.125" style="0" customWidth="1"/>
    <col min="28" max="28" width="10.00390625" style="0" customWidth="1"/>
    <col min="29" max="29" width="9.125" style="0" customWidth="1"/>
    <col min="30" max="30" width="10.375" style="0" customWidth="1"/>
    <col min="31" max="31" width="10.00390625" style="0" customWidth="1"/>
    <col min="32" max="32" width="11.75390625" style="0" customWidth="1"/>
    <col min="33" max="34" width="10.00390625" style="0" customWidth="1"/>
    <col min="35" max="35" width="10.875" style="0" customWidth="1"/>
    <col min="36" max="36" width="9.25390625" style="0" customWidth="1"/>
    <col min="37" max="37" width="9.375" style="0" customWidth="1"/>
    <col min="38" max="38" width="9.00390625" style="0" customWidth="1"/>
    <col min="39" max="39" width="9.375" style="0" customWidth="1"/>
    <col min="40" max="41" width="8.75390625" style="0" customWidth="1"/>
    <col min="42" max="42" width="11.25390625" style="0" customWidth="1"/>
    <col min="43" max="43" width="9.75390625" style="0" customWidth="1"/>
    <col min="44" max="44" width="10.375" style="0" customWidth="1"/>
    <col min="45" max="45" width="10.00390625" style="0" customWidth="1"/>
    <col min="46" max="46" width="11.375" style="0" customWidth="1"/>
    <col min="47" max="47" width="9.625" style="0" bestFit="1" customWidth="1"/>
    <col min="48" max="48" width="9.625" style="0" customWidth="1"/>
    <col min="49" max="49" width="9.875" style="0" customWidth="1"/>
    <col min="50" max="50" width="10.25390625" style="0" customWidth="1"/>
    <col min="51" max="51" width="10.375" style="0" customWidth="1"/>
    <col min="52" max="52" width="10.00390625" style="0" customWidth="1"/>
    <col min="53" max="53" width="10.25390625" style="0" customWidth="1"/>
    <col min="54" max="56" width="9.25390625" style="0" customWidth="1"/>
    <col min="57" max="57" width="10.875" style="0" customWidth="1"/>
    <col min="58" max="58" width="10.375" style="0" customWidth="1"/>
    <col min="59" max="59" width="10.00390625" style="0" customWidth="1"/>
    <col min="60" max="60" width="12.125" style="0" customWidth="1"/>
    <col min="61" max="64" width="9.25390625" style="0" customWidth="1"/>
    <col min="65" max="65" width="10.375" style="0" customWidth="1"/>
    <col min="66" max="66" width="10.00390625" style="0" customWidth="1"/>
    <col min="67" max="67" width="10.875" style="0" customWidth="1"/>
    <col min="68" max="70" width="9.25390625" style="0" customWidth="1"/>
    <col min="71" max="71" width="11.375" style="0" customWidth="1"/>
    <col min="72" max="72" width="10.375" style="0" customWidth="1"/>
    <col min="73" max="73" width="10.00390625" style="0" customWidth="1"/>
    <col min="74" max="74" width="11.75390625" style="0" customWidth="1"/>
    <col min="75" max="78" width="9.25390625" style="0" customWidth="1"/>
    <col min="79" max="79" width="10.375" style="0" customWidth="1"/>
    <col min="80" max="80" width="10.00390625" style="0" customWidth="1"/>
    <col min="81" max="81" width="10.375" style="0" customWidth="1"/>
    <col min="82" max="83" width="9.25390625" style="0" customWidth="1"/>
    <col min="84" max="84" width="8.875" style="0" customWidth="1"/>
    <col min="85" max="85" width="8.625" style="0" customWidth="1"/>
    <col min="86" max="86" width="10.375" style="0" customWidth="1"/>
    <col min="87" max="87" width="10.00390625" style="0" customWidth="1"/>
    <col min="88" max="88" width="11.875" style="0" customWidth="1"/>
    <col min="89" max="89" width="11.375" style="0" customWidth="1"/>
    <col min="90" max="90" width="11.125" style="0" customWidth="1"/>
    <col min="91" max="91" width="9.00390625" style="0" customWidth="1"/>
    <col min="92" max="92" width="10.375" style="0" customWidth="1"/>
    <col min="93" max="94" width="9.125" style="0" customWidth="1"/>
  </cols>
  <sheetData>
    <row r="1" ht="15.75" hidden="1">
      <c r="A1" t="s">
        <v>47</v>
      </c>
    </row>
    <row r="2" spans="2:92" ht="18">
      <c r="B2" s="100"/>
      <c r="C2" s="101"/>
      <c r="D2" s="101" t="s">
        <v>155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339"/>
      <c r="Z2" s="102"/>
      <c r="AA2" s="102"/>
      <c r="AB2" s="102"/>
      <c r="AC2" s="102"/>
      <c r="AD2" s="101"/>
      <c r="AE2" s="101"/>
      <c r="AK2" s="101"/>
      <c r="AL2" s="101"/>
      <c r="AR2" s="101"/>
      <c r="AS2" s="101"/>
      <c r="AY2" s="101"/>
      <c r="AZ2" s="101"/>
      <c r="BF2" s="101"/>
      <c r="BG2" s="101"/>
      <c r="BM2" s="101"/>
      <c r="BN2" s="101"/>
      <c r="BT2" s="101"/>
      <c r="BU2" s="101"/>
      <c r="CA2" s="101"/>
      <c r="CB2" s="101"/>
      <c r="CH2" s="101"/>
      <c r="CI2" s="101"/>
      <c r="CN2" s="101"/>
    </row>
    <row r="3" spans="4:92" ht="15.75">
      <c r="D3" s="463" t="s">
        <v>147</v>
      </c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103"/>
      <c r="U3" s="104"/>
      <c r="V3" s="104"/>
      <c r="W3" s="104"/>
      <c r="X3" s="103"/>
      <c r="AD3" s="104"/>
      <c r="AE3" s="103"/>
      <c r="AK3" s="104"/>
      <c r="AL3" s="103"/>
      <c r="AR3" s="104"/>
      <c r="AS3" s="103"/>
      <c r="AY3" s="104"/>
      <c r="AZ3" s="103"/>
      <c r="BF3" s="104"/>
      <c r="BG3" s="103"/>
      <c r="BM3" s="104"/>
      <c r="BN3" s="103"/>
      <c r="BT3" s="104"/>
      <c r="BU3" s="103"/>
      <c r="CA3" s="104"/>
      <c r="CB3" s="103"/>
      <c r="CH3" s="104"/>
      <c r="CI3" s="103"/>
      <c r="CN3" s="104"/>
    </row>
    <row r="4" spans="1:92" s="106" customFormat="1" ht="12.75" customHeight="1">
      <c r="A4" s="105" t="s">
        <v>156</v>
      </c>
      <c r="B4" s="105"/>
      <c r="G4" s="107"/>
      <c r="H4" s="107"/>
      <c r="I4" s="107"/>
      <c r="K4" s="107"/>
      <c r="N4" s="107"/>
      <c r="O4" s="107"/>
      <c r="P4" s="107"/>
      <c r="R4" s="107"/>
      <c r="U4" s="107"/>
      <c r="V4" s="107"/>
      <c r="W4" s="107"/>
      <c r="Y4" s="107"/>
      <c r="AB4" s="107"/>
      <c r="AC4" s="107"/>
      <c r="AD4" s="107"/>
      <c r="AF4" s="107"/>
      <c r="AI4" s="107"/>
      <c r="AJ4" s="107"/>
      <c r="AK4" s="107"/>
      <c r="AM4" s="107"/>
      <c r="AP4" s="107"/>
      <c r="AQ4" s="107"/>
      <c r="AR4" s="107"/>
      <c r="AT4" s="107"/>
      <c r="AW4" s="107"/>
      <c r="AX4" s="107"/>
      <c r="AY4" s="107"/>
      <c r="BA4" s="107"/>
      <c r="BD4" s="107"/>
      <c r="BE4" s="107"/>
      <c r="BF4" s="107"/>
      <c r="BH4" s="107"/>
      <c r="BK4" s="107"/>
      <c r="BL4" s="107"/>
      <c r="BM4" s="107"/>
      <c r="BO4" s="108"/>
      <c r="BP4" s="108"/>
      <c r="BQ4" s="108"/>
      <c r="BR4" s="108"/>
      <c r="BS4" s="108"/>
      <c r="BT4" s="107"/>
      <c r="BV4" s="107"/>
      <c r="BY4" s="107"/>
      <c r="BZ4" s="107"/>
      <c r="CA4" s="107"/>
      <c r="CC4" s="107"/>
      <c r="CF4" s="107"/>
      <c r="CG4" s="107"/>
      <c r="CH4" s="107"/>
      <c r="CJ4" s="107"/>
      <c r="CN4" s="107"/>
    </row>
    <row r="5" spans="1:92" s="106" customFormat="1" ht="12.75" customHeight="1" thickBot="1">
      <c r="A5" s="109"/>
      <c r="B5" s="105"/>
      <c r="G5" s="107"/>
      <c r="H5" s="107"/>
      <c r="I5" s="107"/>
      <c r="K5" s="107"/>
      <c r="N5" s="107"/>
      <c r="O5" s="107"/>
      <c r="P5" s="107"/>
      <c r="R5" s="107"/>
      <c r="U5" s="107"/>
      <c r="V5" s="107"/>
      <c r="W5" s="107"/>
      <c r="Y5" s="107"/>
      <c r="AB5" s="107"/>
      <c r="AC5" s="107"/>
      <c r="AD5" s="107"/>
      <c r="AF5" s="107"/>
      <c r="AI5" s="107"/>
      <c r="AJ5" s="107"/>
      <c r="AK5" s="107"/>
      <c r="AM5" s="107"/>
      <c r="AP5" s="107"/>
      <c r="AQ5" s="107"/>
      <c r="AR5" s="107"/>
      <c r="AT5" s="107"/>
      <c r="AW5" s="107"/>
      <c r="AX5" s="107"/>
      <c r="AY5" s="107"/>
      <c r="BA5" s="107"/>
      <c r="BD5" s="107"/>
      <c r="BE5" s="107"/>
      <c r="BF5" s="107"/>
      <c r="BH5" s="107"/>
      <c r="BK5" s="107"/>
      <c r="BL5" s="107"/>
      <c r="BM5" s="107"/>
      <c r="BO5" s="108"/>
      <c r="BP5" s="108"/>
      <c r="BQ5" s="108"/>
      <c r="BR5" s="108"/>
      <c r="BS5" s="108"/>
      <c r="BT5" s="107"/>
      <c r="BV5" s="107"/>
      <c r="BY5" s="107"/>
      <c r="BZ5" s="107"/>
      <c r="CA5" s="107"/>
      <c r="CC5" s="107"/>
      <c r="CF5" s="107"/>
      <c r="CG5" s="107"/>
      <c r="CH5" s="107"/>
      <c r="CJ5" s="107"/>
      <c r="CN5" s="107"/>
    </row>
    <row r="6" spans="1:92" s="112" customFormat="1" ht="15" customHeight="1" thickBot="1">
      <c r="A6" s="110" t="s">
        <v>0</v>
      </c>
      <c r="B6" s="111"/>
      <c r="C6" s="498" t="s">
        <v>48</v>
      </c>
      <c r="D6" s="499"/>
      <c r="E6" s="499"/>
      <c r="F6" s="499"/>
      <c r="G6" s="499"/>
      <c r="H6" s="499"/>
      <c r="I6" s="500"/>
      <c r="J6" s="498" t="s">
        <v>49</v>
      </c>
      <c r="K6" s="499"/>
      <c r="L6" s="499"/>
      <c r="M6" s="499"/>
      <c r="N6" s="499"/>
      <c r="O6" s="501"/>
      <c r="P6" s="338"/>
      <c r="Q6" s="464" t="s">
        <v>50</v>
      </c>
      <c r="R6" s="465"/>
      <c r="S6" s="465"/>
      <c r="T6" s="465"/>
      <c r="U6" s="465"/>
      <c r="V6" s="466"/>
      <c r="W6" s="338"/>
      <c r="X6" s="464" t="s">
        <v>51</v>
      </c>
      <c r="Y6" s="465"/>
      <c r="Z6" s="465"/>
      <c r="AA6" s="465"/>
      <c r="AB6" s="465"/>
      <c r="AC6" s="466"/>
      <c r="AD6" s="338"/>
      <c r="AE6" s="464" t="s">
        <v>52</v>
      </c>
      <c r="AF6" s="465"/>
      <c r="AG6" s="465"/>
      <c r="AH6" s="465"/>
      <c r="AI6" s="465"/>
      <c r="AJ6" s="466"/>
      <c r="AK6" s="338"/>
      <c r="AL6" s="464" t="s">
        <v>53</v>
      </c>
      <c r="AM6" s="465"/>
      <c r="AN6" s="465"/>
      <c r="AO6" s="465"/>
      <c r="AP6" s="465"/>
      <c r="AQ6" s="466"/>
      <c r="AR6" s="338"/>
      <c r="AS6" s="464" t="s">
        <v>54</v>
      </c>
      <c r="AT6" s="465"/>
      <c r="AU6" s="465"/>
      <c r="AV6" s="465"/>
      <c r="AW6" s="465"/>
      <c r="AX6" s="466"/>
      <c r="AY6" s="338"/>
      <c r="AZ6" s="464" t="s">
        <v>55</v>
      </c>
      <c r="BA6" s="465"/>
      <c r="BB6" s="465"/>
      <c r="BC6" s="465"/>
      <c r="BD6" s="465"/>
      <c r="BE6" s="466"/>
      <c r="BF6" s="338"/>
      <c r="BG6" s="464" t="s">
        <v>56</v>
      </c>
      <c r="BH6" s="465"/>
      <c r="BI6" s="465"/>
      <c r="BJ6" s="465"/>
      <c r="BK6" s="465"/>
      <c r="BL6" s="466"/>
      <c r="BM6" s="338"/>
      <c r="BN6" s="464" t="s">
        <v>57</v>
      </c>
      <c r="BO6" s="465"/>
      <c r="BP6" s="465"/>
      <c r="BQ6" s="465"/>
      <c r="BR6" s="465"/>
      <c r="BS6" s="466"/>
      <c r="BT6" s="338"/>
      <c r="BU6" s="464" t="s">
        <v>58</v>
      </c>
      <c r="BV6" s="465"/>
      <c r="BW6" s="465"/>
      <c r="BX6" s="465"/>
      <c r="BY6" s="465"/>
      <c r="BZ6" s="466"/>
      <c r="CA6" s="338"/>
      <c r="CB6" s="464" t="s">
        <v>59</v>
      </c>
      <c r="CC6" s="465"/>
      <c r="CD6" s="465"/>
      <c r="CE6" s="465"/>
      <c r="CF6" s="465"/>
      <c r="CG6" s="466"/>
      <c r="CH6" s="338"/>
      <c r="CI6" s="467" t="s">
        <v>60</v>
      </c>
      <c r="CJ6" s="468"/>
      <c r="CK6" s="468"/>
      <c r="CL6" s="469"/>
      <c r="CM6" s="469"/>
      <c r="CN6" s="340"/>
    </row>
    <row r="7" spans="1:92" s="115" customFormat="1" ht="15" customHeight="1">
      <c r="A7" s="113"/>
      <c r="B7" s="114"/>
      <c r="C7" s="341" t="s">
        <v>148</v>
      </c>
      <c r="D7" s="461" t="s">
        <v>153</v>
      </c>
      <c r="E7" s="462"/>
      <c r="F7" s="502"/>
      <c r="G7" s="459" t="s">
        <v>149</v>
      </c>
      <c r="H7" s="460"/>
      <c r="I7" s="342" t="s">
        <v>150</v>
      </c>
      <c r="J7" s="341" t="s">
        <v>148</v>
      </c>
      <c r="K7" s="461" t="s">
        <v>153</v>
      </c>
      <c r="L7" s="462"/>
      <c r="M7" s="502"/>
      <c r="N7" s="459" t="s">
        <v>149</v>
      </c>
      <c r="O7" s="460"/>
      <c r="P7" s="342" t="s">
        <v>150</v>
      </c>
      <c r="Q7" s="341" t="s">
        <v>148</v>
      </c>
      <c r="R7" s="461" t="s">
        <v>153</v>
      </c>
      <c r="S7" s="462"/>
      <c r="T7" s="502"/>
      <c r="U7" s="459" t="s">
        <v>149</v>
      </c>
      <c r="V7" s="460"/>
      <c r="W7" s="342" t="s">
        <v>150</v>
      </c>
      <c r="X7" s="341" t="s">
        <v>148</v>
      </c>
      <c r="Y7" s="461" t="s">
        <v>153</v>
      </c>
      <c r="Z7" s="462"/>
      <c r="AA7" s="502"/>
      <c r="AB7" s="459" t="s">
        <v>149</v>
      </c>
      <c r="AC7" s="460"/>
      <c r="AD7" s="342" t="s">
        <v>150</v>
      </c>
      <c r="AE7" s="341" t="s">
        <v>148</v>
      </c>
      <c r="AF7" s="461" t="s">
        <v>153</v>
      </c>
      <c r="AG7" s="462"/>
      <c r="AH7" s="502"/>
      <c r="AI7" s="459" t="s">
        <v>149</v>
      </c>
      <c r="AJ7" s="460"/>
      <c r="AK7" s="342" t="s">
        <v>150</v>
      </c>
      <c r="AL7" s="341" t="s">
        <v>148</v>
      </c>
      <c r="AM7" s="461" t="s">
        <v>153</v>
      </c>
      <c r="AN7" s="462"/>
      <c r="AO7" s="502"/>
      <c r="AP7" s="459" t="s">
        <v>149</v>
      </c>
      <c r="AQ7" s="460"/>
      <c r="AR7" s="342" t="s">
        <v>150</v>
      </c>
      <c r="AS7" s="341" t="s">
        <v>148</v>
      </c>
      <c r="AT7" s="461" t="s">
        <v>153</v>
      </c>
      <c r="AU7" s="462"/>
      <c r="AV7" s="502"/>
      <c r="AW7" s="459" t="s">
        <v>149</v>
      </c>
      <c r="AX7" s="460"/>
      <c r="AY7" s="342" t="s">
        <v>150</v>
      </c>
      <c r="AZ7" s="341" t="s">
        <v>148</v>
      </c>
      <c r="BA7" s="461" t="s">
        <v>153</v>
      </c>
      <c r="BB7" s="462"/>
      <c r="BC7" s="502"/>
      <c r="BD7" s="459" t="s">
        <v>149</v>
      </c>
      <c r="BE7" s="460"/>
      <c r="BF7" s="342" t="s">
        <v>150</v>
      </c>
      <c r="BG7" s="341" t="s">
        <v>148</v>
      </c>
      <c r="BH7" s="461" t="s">
        <v>153</v>
      </c>
      <c r="BI7" s="462"/>
      <c r="BJ7" s="502"/>
      <c r="BK7" s="459" t="s">
        <v>149</v>
      </c>
      <c r="BL7" s="460"/>
      <c r="BM7" s="342" t="s">
        <v>150</v>
      </c>
      <c r="BN7" s="341" t="s">
        <v>148</v>
      </c>
      <c r="BO7" s="461" t="s">
        <v>153</v>
      </c>
      <c r="BP7" s="462"/>
      <c r="BQ7" s="502"/>
      <c r="BR7" s="459" t="s">
        <v>149</v>
      </c>
      <c r="BS7" s="460"/>
      <c r="BT7" s="342" t="s">
        <v>150</v>
      </c>
      <c r="BU7" s="341" t="s">
        <v>148</v>
      </c>
      <c r="BV7" s="461" t="s">
        <v>153</v>
      </c>
      <c r="BW7" s="462"/>
      <c r="BX7" s="502"/>
      <c r="BY7" s="459" t="s">
        <v>149</v>
      </c>
      <c r="BZ7" s="460"/>
      <c r="CA7" s="342" t="s">
        <v>150</v>
      </c>
      <c r="CB7" s="341" t="s">
        <v>148</v>
      </c>
      <c r="CC7" s="461" t="s">
        <v>153</v>
      </c>
      <c r="CD7" s="462"/>
      <c r="CE7" s="502"/>
      <c r="CF7" s="459" t="s">
        <v>149</v>
      </c>
      <c r="CG7" s="460"/>
      <c r="CH7" s="342" t="s">
        <v>150</v>
      </c>
      <c r="CI7" s="341" t="s">
        <v>148</v>
      </c>
      <c r="CJ7" s="461" t="s">
        <v>153</v>
      </c>
      <c r="CK7" s="462"/>
      <c r="CL7" s="470" t="s">
        <v>149</v>
      </c>
      <c r="CM7" s="470"/>
      <c r="CN7" s="343" t="s">
        <v>150</v>
      </c>
    </row>
    <row r="8" spans="1:93" ht="25.5">
      <c r="A8" s="272"/>
      <c r="B8" s="273"/>
      <c r="C8" s="274" t="s">
        <v>16</v>
      </c>
      <c r="D8" s="116" t="s">
        <v>16</v>
      </c>
      <c r="E8" s="116" t="s">
        <v>17</v>
      </c>
      <c r="F8" s="116"/>
      <c r="G8" s="275" t="s">
        <v>61</v>
      </c>
      <c r="H8" s="223" t="s">
        <v>20</v>
      </c>
      <c r="I8" s="344" t="s">
        <v>151</v>
      </c>
      <c r="J8" s="276" t="s">
        <v>16</v>
      </c>
      <c r="K8" s="116" t="s">
        <v>16</v>
      </c>
      <c r="L8" s="116" t="s">
        <v>17</v>
      </c>
      <c r="M8" s="116"/>
      <c r="N8" s="275" t="s">
        <v>61</v>
      </c>
      <c r="O8" s="223" t="s">
        <v>20</v>
      </c>
      <c r="P8" s="344" t="s">
        <v>151</v>
      </c>
      <c r="Q8" s="274" t="s">
        <v>16</v>
      </c>
      <c r="R8" s="503" t="s">
        <v>16</v>
      </c>
      <c r="S8" s="116" t="s">
        <v>17</v>
      </c>
      <c r="T8" s="116"/>
      <c r="U8" s="275" t="s">
        <v>61</v>
      </c>
      <c r="V8" s="223" t="s">
        <v>20</v>
      </c>
      <c r="W8" s="344" t="s">
        <v>151</v>
      </c>
      <c r="X8" s="274" t="s">
        <v>16</v>
      </c>
      <c r="Y8" s="503" t="s">
        <v>16</v>
      </c>
      <c r="Z8" s="116" t="s">
        <v>17</v>
      </c>
      <c r="AA8" s="116"/>
      <c r="AB8" s="275" t="s">
        <v>61</v>
      </c>
      <c r="AC8" s="223" t="s">
        <v>20</v>
      </c>
      <c r="AD8" s="344" t="s">
        <v>151</v>
      </c>
      <c r="AE8" s="274" t="s">
        <v>16</v>
      </c>
      <c r="AF8" s="503" t="s">
        <v>16</v>
      </c>
      <c r="AG8" s="116" t="s">
        <v>17</v>
      </c>
      <c r="AH8" s="116"/>
      <c r="AI8" s="275" t="s">
        <v>61</v>
      </c>
      <c r="AJ8" s="223" t="s">
        <v>20</v>
      </c>
      <c r="AK8" s="344" t="s">
        <v>151</v>
      </c>
      <c r="AL8" s="274" t="s">
        <v>16</v>
      </c>
      <c r="AM8" s="503" t="s">
        <v>16</v>
      </c>
      <c r="AN8" s="116" t="s">
        <v>17</v>
      </c>
      <c r="AO8" s="116"/>
      <c r="AP8" s="275" t="s">
        <v>61</v>
      </c>
      <c r="AQ8" s="223" t="s">
        <v>20</v>
      </c>
      <c r="AR8" s="344" t="s">
        <v>151</v>
      </c>
      <c r="AS8" s="274" t="s">
        <v>16</v>
      </c>
      <c r="AT8" s="503" t="s">
        <v>16</v>
      </c>
      <c r="AU8" s="116" t="s">
        <v>17</v>
      </c>
      <c r="AV8" s="116"/>
      <c r="AW8" s="275" t="s">
        <v>61</v>
      </c>
      <c r="AX8" s="223" t="s">
        <v>20</v>
      </c>
      <c r="AY8" s="344" t="s">
        <v>151</v>
      </c>
      <c r="AZ8" s="274" t="s">
        <v>16</v>
      </c>
      <c r="BA8" s="503" t="s">
        <v>16</v>
      </c>
      <c r="BB8" s="116" t="s">
        <v>17</v>
      </c>
      <c r="BC8" s="116"/>
      <c r="BD8" s="275" t="s">
        <v>61</v>
      </c>
      <c r="BE8" s="223" t="s">
        <v>20</v>
      </c>
      <c r="BF8" s="344" t="s">
        <v>151</v>
      </c>
      <c r="BG8" s="274" t="s">
        <v>16</v>
      </c>
      <c r="BH8" s="503" t="s">
        <v>16</v>
      </c>
      <c r="BI8" s="116" t="s">
        <v>17</v>
      </c>
      <c r="BJ8" s="116"/>
      <c r="BK8" s="275" t="s">
        <v>61</v>
      </c>
      <c r="BL8" s="223" t="s">
        <v>20</v>
      </c>
      <c r="BM8" s="344" t="s">
        <v>151</v>
      </c>
      <c r="BN8" s="274" t="s">
        <v>16</v>
      </c>
      <c r="BO8" s="503" t="s">
        <v>16</v>
      </c>
      <c r="BP8" s="116" t="s">
        <v>17</v>
      </c>
      <c r="BQ8" s="116"/>
      <c r="BR8" s="275" t="s">
        <v>61</v>
      </c>
      <c r="BS8" s="223" t="s">
        <v>20</v>
      </c>
      <c r="BT8" s="344" t="s">
        <v>151</v>
      </c>
      <c r="BU8" s="274" t="s">
        <v>16</v>
      </c>
      <c r="BV8" s="503" t="s">
        <v>16</v>
      </c>
      <c r="BW8" s="116" t="s">
        <v>17</v>
      </c>
      <c r="BX8" s="116"/>
      <c r="BY8" s="275" t="s">
        <v>61</v>
      </c>
      <c r="BZ8" s="223" t="s">
        <v>20</v>
      </c>
      <c r="CA8" s="344" t="s">
        <v>151</v>
      </c>
      <c r="CB8" s="274" t="s">
        <v>16</v>
      </c>
      <c r="CC8" s="503" t="s">
        <v>16</v>
      </c>
      <c r="CD8" s="116" t="s">
        <v>17</v>
      </c>
      <c r="CE8" s="116"/>
      <c r="CF8" s="275" t="s">
        <v>61</v>
      </c>
      <c r="CG8" s="223" t="s">
        <v>20</v>
      </c>
      <c r="CH8" s="344" t="s">
        <v>151</v>
      </c>
      <c r="CI8" s="274" t="s">
        <v>16</v>
      </c>
      <c r="CJ8" s="116" t="s">
        <v>16</v>
      </c>
      <c r="CK8" s="116" t="s">
        <v>17</v>
      </c>
      <c r="CL8" s="275" t="s">
        <v>61</v>
      </c>
      <c r="CM8" s="275" t="s">
        <v>20</v>
      </c>
      <c r="CN8" s="345" t="s">
        <v>151</v>
      </c>
      <c r="CO8" s="346"/>
    </row>
    <row r="9" spans="1:92" s="283" customFormat="1" ht="12.75">
      <c r="A9" s="277" t="s">
        <v>62</v>
      </c>
      <c r="B9" s="278"/>
      <c r="C9" s="279">
        <f>SUM(C10:C18)</f>
        <v>103584.9</v>
      </c>
      <c r="D9" s="280">
        <f>SUM(D10:D18)</f>
        <v>70716.8</v>
      </c>
      <c r="E9" s="281">
        <f>SUM(E10:E18)</f>
        <v>72739.09999999999</v>
      </c>
      <c r="F9" s="281">
        <f>E9-'[1]01.09.19'!E9</f>
        <v>8488.299999999988</v>
      </c>
      <c r="G9" s="280">
        <f>E9-D9</f>
        <v>2022.2999999999884</v>
      </c>
      <c r="H9" s="282">
        <f aca="true" t="shared" si="0" ref="H9:H34">E9/D9%</f>
        <v>102.85971650300917</v>
      </c>
      <c r="I9" s="347">
        <f aca="true" t="shared" si="1" ref="I9:I15">E9/C9%</f>
        <v>70.2217215057407</v>
      </c>
      <c r="J9" s="281">
        <f>SUM(J10:J18)</f>
        <v>4061.3999999999996</v>
      </c>
      <c r="K9" s="280">
        <f>SUM(K10:K18)</f>
        <v>2415.5</v>
      </c>
      <c r="L9" s="281">
        <f>SUM(L10:L18)</f>
        <v>3182.8999999999996</v>
      </c>
      <c r="M9" s="281">
        <f>L9-'[1]01.09.19'!K9</f>
        <v>496.8000000000002</v>
      </c>
      <c r="N9" s="280">
        <f aca="true" t="shared" si="2" ref="N9:N33">L9-K9</f>
        <v>767.3999999999996</v>
      </c>
      <c r="O9" s="282">
        <f aca="true" t="shared" si="3" ref="O9:O16">L9/K9%</f>
        <v>131.76981991306147</v>
      </c>
      <c r="P9" s="347">
        <f>L9/J9%</f>
        <v>78.36952774905205</v>
      </c>
      <c r="Q9" s="279">
        <f>SUM(Q10:Q18)</f>
        <v>5388.5</v>
      </c>
      <c r="R9" s="280">
        <f>SUM(R10:R18)</f>
        <v>4244.3</v>
      </c>
      <c r="S9" s="281">
        <f>SUM(S10:S18)</f>
        <v>4311.6</v>
      </c>
      <c r="T9" s="281">
        <f>S9-'[1]01.09.19'!Q9</f>
        <v>322.50000000000045</v>
      </c>
      <c r="U9" s="280">
        <f aca="true" t="shared" si="4" ref="U9:U33">S9-R9</f>
        <v>67.30000000000018</v>
      </c>
      <c r="V9" s="282">
        <f aca="true" t="shared" si="5" ref="V9:V16">S9/R9%</f>
        <v>101.58565605635793</v>
      </c>
      <c r="W9" s="347">
        <f>S9/Q9%</f>
        <v>80.01484643221677</v>
      </c>
      <c r="X9" s="279">
        <f>SUM(X10:X18)</f>
        <v>8895</v>
      </c>
      <c r="Y9" s="280">
        <f>SUM(Y10:Y18)</f>
        <v>4245.699999999999</v>
      </c>
      <c r="Z9" s="281">
        <f>SUM(Z10:Z18)</f>
        <v>5668.5</v>
      </c>
      <c r="AA9" s="281">
        <f>Z9-'[1]01.09.19'!W9</f>
        <v>901.3999999999996</v>
      </c>
      <c r="AB9" s="280">
        <f aca="true" t="shared" si="6" ref="AB9:AB33">Z9-Y9</f>
        <v>1422.800000000001</v>
      </c>
      <c r="AC9" s="282">
        <f aca="true" t="shared" si="7" ref="AC9:AC16">Z9/Y9%</f>
        <v>133.51155286525196</v>
      </c>
      <c r="AD9" s="347">
        <f>Z9/X9%</f>
        <v>63.72681281618887</v>
      </c>
      <c r="AE9" s="279">
        <f>SUM(AE10:AE18)</f>
        <v>5373.5</v>
      </c>
      <c r="AF9" s="280">
        <f>SUM(AF10:AF18)</f>
        <v>1871.2</v>
      </c>
      <c r="AG9" s="280">
        <f>SUM(AG10:AG18)</f>
        <v>3705.1</v>
      </c>
      <c r="AH9" s="280">
        <f>AG9-'[1]01.09.19'!AC9</f>
        <v>1194.9</v>
      </c>
      <c r="AI9" s="280">
        <f aca="true" t="shared" si="8" ref="AI9:AI33">AG9-AF9</f>
        <v>1833.8999999999999</v>
      </c>
      <c r="AJ9" s="282">
        <f aca="true" t="shared" si="9" ref="AJ9:AJ16">AG9/AF9%</f>
        <v>198.00662676357416</v>
      </c>
      <c r="AK9" s="347">
        <f>AG9/AE9%</f>
        <v>68.9513352563506</v>
      </c>
      <c r="AL9" s="279">
        <f>SUM(AL10:AL18)</f>
        <v>3726.3999999999996</v>
      </c>
      <c r="AM9" s="280">
        <f>SUM(AM10:AM18)</f>
        <v>2049.9</v>
      </c>
      <c r="AN9" s="281">
        <f>SUM(AN10:AN18)</f>
        <v>2410.6</v>
      </c>
      <c r="AO9" s="281">
        <f>AN9-'[1]01.09.19'!AI9</f>
        <v>227.69999999999936</v>
      </c>
      <c r="AP9" s="280">
        <f aca="true" t="shared" si="10" ref="AP9:AP33">AN9-AM9</f>
        <v>360.6999999999998</v>
      </c>
      <c r="AQ9" s="282">
        <f aca="true" t="shared" si="11" ref="AQ9:AQ16">AN9/AM9%</f>
        <v>117.59598029172153</v>
      </c>
      <c r="AR9" s="347">
        <f>AN9/AL9%</f>
        <v>64.68978102189782</v>
      </c>
      <c r="AS9" s="279">
        <f>SUM(AS10:AS18)</f>
        <v>4491.3</v>
      </c>
      <c r="AT9" s="280">
        <f>SUM(AT10:AT18)</f>
        <v>2858.1</v>
      </c>
      <c r="AU9" s="281">
        <f>SUM(AU10:AU18)</f>
        <v>3154.2</v>
      </c>
      <c r="AV9" s="281">
        <f>AU9-'[1]01.09.19'!AO9</f>
        <v>669.2999999999997</v>
      </c>
      <c r="AW9" s="280">
        <f aca="true" t="shared" si="12" ref="AW9:AW33">AU9-AT9</f>
        <v>296.0999999999999</v>
      </c>
      <c r="AX9" s="282">
        <f aca="true" t="shared" si="13" ref="AX9:AX16">AU9/AT9%</f>
        <v>110.3600293901543</v>
      </c>
      <c r="AY9" s="347">
        <f>AU9/AS9%</f>
        <v>70.22910961191636</v>
      </c>
      <c r="AZ9" s="279">
        <f>SUM(AZ10:AZ18)</f>
        <v>4099.2</v>
      </c>
      <c r="BA9" s="280">
        <f>SUM(BA10:BA18)</f>
        <v>2769.3999999999996</v>
      </c>
      <c r="BB9" s="281">
        <f>SUM(BB10:BB18)</f>
        <v>2860.8</v>
      </c>
      <c r="BC9" s="281">
        <f>BB9-'[1]01.09.19'!AU9</f>
        <v>671.0999999999999</v>
      </c>
      <c r="BD9" s="280">
        <f aca="true" t="shared" si="14" ref="BD9:BD33">BB9-BA9</f>
        <v>91.40000000000055</v>
      </c>
      <c r="BE9" s="282">
        <f aca="true" t="shared" si="15" ref="BE9:BE16">BB9/BA9%</f>
        <v>103.3003538672637</v>
      </c>
      <c r="BF9" s="347">
        <f>BB9/AZ9%</f>
        <v>69.78922716627636</v>
      </c>
      <c r="BG9" s="279">
        <f>SUM(BG10:BG18)</f>
        <v>7951</v>
      </c>
      <c r="BH9" s="280">
        <f>SUM(BH10:BH18)</f>
        <v>6009.7</v>
      </c>
      <c r="BI9" s="281">
        <f>SUM(BI10:BI18)</f>
        <v>7741.400000000001</v>
      </c>
      <c r="BJ9" s="281">
        <f>BI9-'[1]01.09.19'!BA9</f>
        <v>2372.4000000000005</v>
      </c>
      <c r="BK9" s="280">
        <f aca="true" t="shared" si="16" ref="BK9:BK32">BI9-BH9</f>
        <v>1731.7000000000007</v>
      </c>
      <c r="BL9" s="282">
        <f>BI9/BH9%</f>
        <v>128.81508228364146</v>
      </c>
      <c r="BM9" s="347">
        <f>BI9/BG9%</f>
        <v>97.36385360332034</v>
      </c>
      <c r="BN9" s="279">
        <f>SUM(BN10:BN18)</f>
        <v>1997.9</v>
      </c>
      <c r="BO9" s="280">
        <f>SUM(BO10:BO18)</f>
        <v>873.1999999999999</v>
      </c>
      <c r="BP9" s="281">
        <f>SUM(BP10:BP18)</f>
        <v>973.1</v>
      </c>
      <c r="BQ9" s="281">
        <f>BP9-'[1]01.09.19'!BG9</f>
        <v>239.4000000000001</v>
      </c>
      <c r="BR9" s="280">
        <f aca="true" t="shared" si="17" ref="BR9:BR32">BP9-BO9</f>
        <v>99.90000000000009</v>
      </c>
      <c r="BS9" s="282">
        <f aca="true" t="shared" si="18" ref="BS9:BS16">BP9/BO9%</f>
        <v>111.4406779661017</v>
      </c>
      <c r="BT9" s="347">
        <f>BP9/BN9%</f>
        <v>48.70614144852095</v>
      </c>
      <c r="BU9" s="279">
        <f>SUM(BU10:BU18)</f>
        <v>3673.3</v>
      </c>
      <c r="BV9" s="280">
        <f>SUM(BV10:BV18)</f>
        <v>2249.5</v>
      </c>
      <c r="BW9" s="281">
        <f>SUM(BW10:BW18)</f>
        <v>2555.9</v>
      </c>
      <c r="BX9" s="281">
        <f>BW9-'[1]01.09.19'!BM9</f>
        <v>356.9000000000001</v>
      </c>
      <c r="BY9" s="280">
        <f aca="true" t="shared" si="19" ref="BY9:BY32">BW9-BV9</f>
        <v>306.4000000000001</v>
      </c>
      <c r="BZ9" s="282">
        <f aca="true" t="shared" si="20" ref="BZ9:BZ16">BW9/BV9%</f>
        <v>113.62080462324961</v>
      </c>
      <c r="CA9" s="347">
        <f>BW9/BU9%</f>
        <v>69.58048621130862</v>
      </c>
      <c r="CB9" s="279">
        <f>SUM(CB10:CB18)</f>
        <v>11333.099999999999</v>
      </c>
      <c r="CC9" s="280">
        <f>SUM(CC10:CC18)</f>
        <v>7930</v>
      </c>
      <c r="CD9" s="281">
        <f>SUM(CD10:CD18)</f>
        <v>8125.1</v>
      </c>
      <c r="CE9" s="281">
        <f>CD9-'[1]01.09.19'!BS9</f>
        <v>619.7000000000007</v>
      </c>
      <c r="CF9" s="280">
        <f>CD9-CC9</f>
        <v>195.10000000000036</v>
      </c>
      <c r="CG9" s="282">
        <f aca="true" t="shared" si="21" ref="CG9:CG16">CD9/CC9%</f>
        <v>102.46027742749055</v>
      </c>
      <c r="CH9" s="347">
        <f>CD9/CB9%</f>
        <v>71.69353486689432</v>
      </c>
      <c r="CI9" s="279">
        <f aca="true" t="shared" si="22" ref="CI9:CK24">C9+J9+Q9+X9+AE9+AL9+AS9+AZ9+BG9+BN9+BU9+CB9</f>
        <v>164575.49999999997</v>
      </c>
      <c r="CJ9" s="280">
        <f t="shared" si="22"/>
        <v>108233.29999999999</v>
      </c>
      <c r="CK9" s="280">
        <f t="shared" si="22"/>
        <v>117428.3</v>
      </c>
      <c r="CL9" s="280">
        <f>CK9-CJ9</f>
        <v>9195.000000000015</v>
      </c>
      <c r="CM9" s="280">
        <f>CK9/CJ9%</f>
        <v>108.49553695581676</v>
      </c>
      <c r="CN9" s="348">
        <f>CK9/CI9%</f>
        <v>71.35223651150993</v>
      </c>
    </row>
    <row r="10" spans="1:93" ht="12.75">
      <c r="A10" s="117" t="s">
        <v>63</v>
      </c>
      <c r="B10" s="118"/>
      <c r="C10" s="284">
        <v>62771.5</v>
      </c>
      <c r="D10" s="119">
        <v>41128.2</v>
      </c>
      <c r="E10" s="285">
        <v>42046.1</v>
      </c>
      <c r="F10" s="281">
        <f>E10-'[1]01.09.19'!E10</f>
        <v>4904.0999999999985</v>
      </c>
      <c r="G10" s="286">
        <f aca="true" t="shared" si="23" ref="G10:G32">E10-D10</f>
        <v>917.9000000000015</v>
      </c>
      <c r="H10" s="282">
        <f t="shared" si="0"/>
        <v>102.23180202391546</v>
      </c>
      <c r="I10" s="349">
        <f t="shared" si="1"/>
        <v>66.98278677425265</v>
      </c>
      <c r="J10" s="287">
        <v>755</v>
      </c>
      <c r="K10" s="119">
        <v>520</v>
      </c>
      <c r="L10" s="285">
        <v>525.9</v>
      </c>
      <c r="M10" s="281">
        <f>L10-'[1]01.09.19'!K10</f>
        <v>52.599999999999966</v>
      </c>
      <c r="N10" s="286">
        <f t="shared" si="2"/>
        <v>5.899999999999977</v>
      </c>
      <c r="O10" s="350">
        <f t="shared" si="3"/>
        <v>101.13461538461537</v>
      </c>
      <c r="P10" s="349">
        <f>L10/J10%</f>
        <v>69.65562913907284</v>
      </c>
      <c r="Q10" s="284">
        <v>1622.8</v>
      </c>
      <c r="R10" s="119">
        <v>1211.3</v>
      </c>
      <c r="S10" s="285">
        <v>1211.4</v>
      </c>
      <c r="T10" s="281">
        <f>S10-'[1]01.09.19'!Q10</f>
        <v>122.40000000000009</v>
      </c>
      <c r="U10" s="286">
        <f t="shared" si="4"/>
        <v>0.10000000000013642</v>
      </c>
      <c r="V10" s="350">
        <f>S10/R10%</f>
        <v>100.00825559316438</v>
      </c>
      <c r="W10" s="349">
        <f>S10/Q10%</f>
        <v>74.6487552378605</v>
      </c>
      <c r="X10" s="284">
        <v>4521</v>
      </c>
      <c r="Y10" s="119">
        <v>3251</v>
      </c>
      <c r="Z10" s="285">
        <v>4073</v>
      </c>
      <c r="AA10" s="281">
        <f>Z10-'[1]01.09.19'!W10</f>
        <v>458.5</v>
      </c>
      <c r="AB10" s="286">
        <f t="shared" si="6"/>
        <v>822</v>
      </c>
      <c r="AC10" s="350">
        <f t="shared" si="7"/>
        <v>125.28452783758844</v>
      </c>
      <c r="AD10" s="349">
        <f>Z10/X10%</f>
        <v>90.09068790090687</v>
      </c>
      <c r="AE10" s="284">
        <v>1016</v>
      </c>
      <c r="AF10" s="119">
        <v>826.4</v>
      </c>
      <c r="AG10" s="285">
        <v>789.9</v>
      </c>
      <c r="AH10" s="280">
        <f>AG10-'[1]01.09.19'!AC10</f>
        <v>142.79999999999995</v>
      </c>
      <c r="AI10" s="286">
        <f t="shared" si="8"/>
        <v>-36.5</v>
      </c>
      <c r="AJ10" s="350">
        <f t="shared" si="9"/>
        <v>95.58325266214908</v>
      </c>
      <c r="AK10" s="349">
        <f>AG10/AE10%</f>
        <v>77.74606299212599</v>
      </c>
      <c r="AL10" s="284">
        <v>1008</v>
      </c>
      <c r="AM10" s="119">
        <v>744</v>
      </c>
      <c r="AN10" s="285">
        <v>937.7</v>
      </c>
      <c r="AO10" s="281">
        <f>AN10-'[1]01.09.19'!AI10</f>
        <v>122.30000000000007</v>
      </c>
      <c r="AP10" s="286">
        <f t="shared" si="10"/>
        <v>193.70000000000005</v>
      </c>
      <c r="AQ10" s="350">
        <f t="shared" si="11"/>
        <v>126.03494623655914</v>
      </c>
      <c r="AR10" s="349">
        <f>AN10/AL10%</f>
        <v>93.02579365079366</v>
      </c>
      <c r="AS10" s="284">
        <v>675.1</v>
      </c>
      <c r="AT10" s="119">
        <v>361.8</v>
      </c>
      <c r="AU10" s="285">
        <v>403</v>
      </c>
      <c r="AV10" s="281">
        <f>AU10-'[1]01.09.19'!AO10</f>
        <v>66.69999999999999</v>
      </c>
      <c r="AW10" s="286">
        <f t="shared" si="12"/>
        <v>41.19999999999999</v>
      </c>
      <c r="AX10" s="350">
        <f t="shared" si="13"/>
        <v>111.38750690989497</v>
      </c>
      <c r="AY10" s="349">
        <f>AU10/AS10%</f>
        <v>59.694860020737664</v>
      </c>
      <c r="AZ10" s="284">
        <v>668.8</v>
      </c>
      <c r="BA10" s="119">
        <v>500</v>
      </c>
      <c r="BB10" s="285">
        <v>487.5</v>
      </c>
      <c r="BC10" s="281">
        <f>BB10-'[1]01.09.19'!AU10</f>
        <v>79.30000000000001</v>
      </c>
      <c r="BD10" s="286">
        <f t="shared" si="14"/>
        <v>-12.5</v>
      </c>
      <c r="BE10" s="350">
        <f t="shared" si="15"/>
        <v>97.5</v>
      </c>
      <c r="BF10" s="349">
        <f>BB10/AZ10%</f>
        <v>72.89174641148325</v>
      </c>
      <c r="BG10" s="284">
        <v>2097.1</v>
      </c>
      <c r="BH10" s="119">
        <v>1802.4</v>
      </c>
      <c r="BI10" s="285">
        <v>1842.3</v>
      </c>
      <c r="BJ10" s="281">
        <f>BI10-'[1]01.09.19'!BA10</f>
        <v>296.5999999999999</v>
      </c>
      <c r="BK10" s="286">
        <f t="shared" si="16"/>
        <v>39.899999999999864</v>
      </c>
      <c r="BL10" s="350">
        <f>BI10/BH10%</f>
        <v>102.21371504660452</v>
      </c>
      <c r="BM10" s="349">
        <f>BI10/BG10%</f>
        <v>87.84988794048924</v>
      </c>
      <c r="BN10" s="284">
        <v>381.5</v>
      </c>
      <c r="BO10" s="119">
        <v>360.3</v>
      </c>
      <c r="BP10" s="285">
        <v>363.6</v>
      </c>
      <c r="BQ10" s="281">
        <f>BP10-'[1]01.09.19'!BG10</f>
        <v>48.30000000000001</v>
      </c>
      <c r="BR10" s="286">
        <f t="shared" si="17"/>
        <v>3.3000000000000114</v>
      </c>
      <c r="BS10" s="350">
        <f t="shared" si="18"/>
        <v>100.91590341382181</v>
      </c>
      <c r="BT10" s="349">
        <f>BP10/BN10%</f>
        <v>95.30799475753605</v>
      </c>
      <c r="BU10" s="284">
        <v>1050</v>
      </c>
      <c r="BV10" s="119">
        <v>820</v>
      </c>
      <c r="BW10" s="285">
        <v>800.1</v>
      </c>
      <c r="BX10" s="281">
        <f>BW10-'[1]01.09.19'!BM10</f>
        <v>135.89999999999998</v>
      </c>
      <c r="BY10" s="286">
        <f t="shared" si="19"/>
        <v>-19.899999999999977</v>
      </c>
      <c r="BZ10" s="350">
        <f t="shared" si="20"/>
        <v>97.57317073170732</v>
      </c>
      <c r="CA10" s="349">
        <f>BW10/BU10%</f>
        <v>76.2</v>
      </c>
      <c r="CB10" s="284">
        <v>4262.2</v>
      </c>
      <c r="CC10" s="119">
        <v>3008.5</v>
      </c>
      <c r="CD10" s="285">
        <v>3021.4</v>
      </c>
      <c r="CE10" s="281">
        <f>CD10-'[1]01.09.19'!BS10</f>
        <v>281.7000000000003</v>
      </c>
      <c r="CF10" s="286">
        <f>CD10-CC10</f>
        <v>12.900000000000091</v>
      </c>
      <c r="CG10" s="350">
        <f t="shared" si="21"/>
        <v>100.42878510885824</v>
      </c>
      <c r="CH10" s="349">
        <f>CD10/CB10%</f>
        <v>70.88827366148938</v>
      </c>
      <c r="CI10" s="288">
        <f t="shared" si="22"/>
        <v>80829.00000000001</v>
      </c>
      <c r="CJ10" s="220">
        <f t="shared" si="22"/>
        <v>54533.90000000001</v>
      </c>
      <c r="CK10" s="220">
        <f t="shared" si="22"/>
        <v>56501.9</v>
      </c>
      <c r="CL10" s="286">
        <f>CK10-CJ10</f>
        <v>1967.9999999999927</v>
      </c>
      <c r="CM10" s="286">
        <f>CK10/CJ10%</f>
        <v>103.60876445660405</v>
      </c>
      <c r="CN10" s="351">
        <f>CK10/CI10%</f>
        <v>69.90300510955225</v>
      </c>
      <c r="CO10" s="352"/>
    </row>
    <row r="11" spans="1:93" ht="12.75">
      <c r="A11" s="117" t="s">
        <v>64</v>
      </c>
      <c r="B11" s="118"/>
      <c r="C11" s="284">
        <v>2628.8</v>
      </c>
      <c r="D11" s="119">
        <v>1940.5</v>
      </c>
      <c r="E11" s="285">
        <v>1941.7</v>
      </c>
      <c r="F11" s="281">
        <f>E11-'[1]01.09.19'!E11</f>
        <v>249.4000000000001</v>
      </c>
      <c r="G11" s="286">
        <f t="shared" si="23"/>
        <v>1.2000000000000455</v>
      </c>
      <c r="H11" s="282">
        <f t="shared" si="0"/>
        <v>100.06183973202782</v>
      </c>
      <c r="I11" s="349"/>
      <c r="J11" s="287"/>
      <c r="K11" s="119"/>
      <c r="L11" s="285"/>
      <c r="M11" s="281">
        <f>L11-'[1]01.09.19'!K11</f>
        <v>0</v>
      </c>
      <c r="N11" s="286">
        <f t="shared" si="2"/>
        <v>0</v>
      </c>
      <c r="O11" s="350"/>
      <c r="P11" s="349"/>
      <c r="Q11" s="284">
        <v>0</v>
      </c>
      <c r="R11" s="119"/>
      <c r="S11" s="285"/>
      <c r="T11" s="281">
        <f>S11-'[1]01.09.19'!Q11</f>
        <v>0</v>
      </c>
      <c r="U11" s="286">
        <f t="shared" si="4"/>
        <v>0</v>
      </c>
      <c r="V11" s="350"/>
      <c r="W11" s="349"/>
      <c r="X11" s="284"/>
      <c r="Y11" s="119"/>
      <c r="Z11" s="285"/>
      <c r="AA11" s="281">
        <f>Z11-'[1]01.09.19'!W11</f>
        <v>0</v>
      </c>
      <c r="AB11" s="286">
        <f t="shared" si="6"/>
        <v>0</v>
      </c>
      <c r="AC11" s="350"/>
      <c r="AD11" s="349"/>
      <c r="AE11" s="284"/>
      <c r="AF11" s="119"/>
      <c r="AG11" s="285"/>
      <c r="AH11" s="280">
        <f>AG11-'[1]01.09.19'!AC11</f>
        <v>0</v>
      </c>
      <c r="AI11" s="286"/>
      <c r="AJ11" s="350"/>
      <c r="AK11" s="349"/>
      <c r="AL11" s="284"/>
      <c r="AM11" s="119"/>
      <c r="AN11" s="285"/>
      <c r="AO11" s="281">
        <f>AN11-'[1]01.09.19'!AI11</f>
        <v>0</v>
      </c>
      <c r="AP11" s="286">
        <f t="shared" si="10"/>
        <v>0</v>
      </c>
      <c r="AQ11" s="350"/>
      <c r="AR11" s="349"/>
      <c r="AS11" s="284"/>
      <c r="AT11" s="119"/>
      <c r="AU11" s="285"/>
      <c r="AV11" s="281">
        <f>AU11-'[1]01.09.19'!AO11</f>
        <v>0</v>
      </c>
      <c r="AW11" s="286"/>
      <c r="AX11" s="350"/>
      <c r="AY11" s="349"/>
      <c r="AZ11" s="284"/>
      <c r="BA11" s="119"/>
      <c r="BB11" s="285"/>
      <c r="BC11" s="281">
        <f>BB11-'[1]01.09.19'!AU11</f>
        <v>0</v>
      </c>
      <c r="BD11" s="286">
        <f t="shared" si="14"/>
        <v>0</v>
      </c>
      <c r="BE11" s="350"/>
      <c r="BF11" s="349"/>
      <c r="BG11" s="284"/>
      <c r="BH11" s="119"/>
      <c r="BI11" s="285"/>
      <c r="BJ11" s="281">
        <f>BI11-'[1]01.09.19'!BA11</f>
        <v>0</v>
      </c>
      <c r="BK11" s="286">
        <f t="shared" si="16"/>
        <v>0</v>
      </c>
      <c r="BL11" s="350"/>
      <c r="BM11" s="349"/>
      <c r="BN11" s="284"/>
      <c r="BO11" s="119"/>
      <c r="BP11" s="285"/>
      <c r="BQ11" s="281">
        <f>BP11-'[1]01.09.19'!BG11</f>
        <v>0</v>
      </c>
      <c r="BR11" s="286"/>
      <c r="BS11" s="350"/>
      <c r="BT11" s="349"/>
      <c r="BU11" s="284"/>
      <c r="BV11" s="119"/>
      <c r="BW11" s="285"/>
      <c r="BX11" s="281">
        <f>BW11-'[1]01.09.19'!BM11</f>
        <v>0</v>
      </c>
      <c r="BY11" s="286"/>
      <c r="BZ11" s="350"/>
      <c r="CA11" s="349"/>
      <c r="CB11" s="284">
        <v>868.6</v>
      </c>
      <c r="CC11" s="119">
        <v>677.6</v>
      </c>
      <c r="CD11" s="285">
        <v>719.9</v>
      </c>
      <c r="CE11" s="281">
        <f>CD11-'[1]01.09.19'!BS11</f>
        <v>92.5</v>
      </c>
      <c r="CF11" s="286"/>
      <c r="CG11" s="350">
        <f t="shared" si="21"/>
        <v>106.24262101534829</v>
      </c>
      <c r="CH11" s="349"/>
      <c r="CI11" s="288">
        <f t="shared" si="22"/>
        <v>3497.4</v>
      </c>
      <c r="CJ11" s="220">
        <f t="shared" si="22"/>
        <v>2618.1</v>
      </c>
      <c r="CK11" s="220">
        <f t="shared" si="22"/>
        <v>2661.6</v>
      </c>
      <c r="CL11" s="286">
        <f>CK11-CJ11</f>
        <v>43.5</v>
      </c>
      <c r="CM11" s="286">
        <f>CK11/CJ11%</f>
        <v>101.66151025552882</v>
      </c>
      <c r="CN11" s="351">
        <f>CK11/CI11%</f>
        <v>76.10224738377079</v>
      </c>
      <c r="CO11" s="352"/>
    </row>
    <row r="12" spans="1:93" ht="24.75" customHeight="1" hidden="1">
      <c r="A12" s="120" t="s">
        <v>24</v>
      </c>
      <c r="B12" s="118"/>
      <c r="C12" s="284"/>
      <c r="D12" s="119"/>
      <c r="E12" s="285"/>
      <c r="F12" s="281">
        <f>E12-'[1]01.09.19'!E12</f>
        <v>0</v>
      </c>
      <c r="G12" s="286">
        <f t="shared" si="23"/>
        <v>0</v>
      </c>
      <c r="H12" s="282" t="e">
        <f t="shared" si="0"/>
        <v>#DIV/0!</v>
      </c>
      <c r="I12" s="349" t="e">
        <f t="shared" si="1"/>
        <v>#DIV/0!</v>
      </c>
      <c r="J12" s="287"/>
      <c r="K12" s="119"/>
      <c r="L12" s="285"/>
      <c r="M12" s="281">
        <f>L12-'[1]01.09.19'!K12</f>
        <v>0</v>
      </c>
      <c r="N12" s="286">
        <f t="shared" si="2"/>
        <v>0</v>
      </c>
      <c r="O12" s="350" t="e">
        <f t="shared" si="3"/>
        <v>#DIV/0!</v>
      </c>
      <c r="P12" s="349" t="e">
        <f aca="true" t="shared" si="24" ref="P12:P34">L12/J12%</f>
        <v>#DIV/0!</v>
      </c>
      <c r="Q12" s="284"/>
      <c r="R12" s="119"/>
      <c r="S12" s="285"/>
      <c r="T12" s="281">
        <f>S12-'[1]01.09.19'!Q12</f>
        <v>0</v>
      </c>
      <c r="U12" s="286">
        <f t="shared" si="4"/>
        <v>0</v>
      </c>
      <c r="V12" s="350" t="e">
        <f t="shared" si="5"/>
        <v>#DIV/0!</v>
      </c>
      <c r="W12" s="349" t="e">
        <f aca="true" t="shared" si="25" ref="W12:W34">S12/Q12%</f>
        <v>#DIV/0!</v>
      </c>
      <c r="X12" s="284"/>
      <c r="Y12" s="119"/>
      <c r="Z12" s="285"/>
      <c r="AA12" s="281">
        <f>Z12-'[1]01.09.19'!W12</f>
        <v>0</v>
      </c>
      <c r="AB12" s="286">
        <f t="shared" si="6"/>
        <v>0</v>
      </c>
      <c r="AC12" s="350" t="e">
        <f t="shared" si="7"/>
        <v>#DIV/0!</v>
      </c>
      <c r="AD12" s="349"/>
      <c r="AE12" s="284"/>
      <c r="AF12" s="119"/>
      <c r="AG12" s="285"/>
      <c r="AH12" s="280">
        <f>AG12-'[1]01.09.19'!AC12</f>
        <v>0</v>
      </c>
      <c r="AI12" s="286">
        <f t="shared" si="8"/>
        <v>0</v>
      </c>
      <c r="AJ12" s="350" t="e">
        <f t="shared" si="9"/>
        <v>#DIV/0!</v>
      </c>
      <c r="AK12" s="349" t="e">
        <f>AG12/AE12%</f>
        <v>#DIV/0!</v>
      </c>
      <c r="AL12" s="284"/>
      <c r="AM12" s="119"/>
      <c r="AN12" s="285"/>
      <c r="AO12" s="281">
        <f>AN12-'[1]01.09.19'!AI12</f>
        <v>0</v>
      </c>
      <c r="AP12" s="286">
        <f t="shared" si="10"/>
        <v>0</v>
      </c>
      <c r="AQ12" s="350" t="e">
        <f t="shared" si="11"/>
        <v>#DIV/0!</v>
      </c>
      <c r="AR12" s="349" t="e">
        <f aca="true" t="shared" si="26" ref="AR12:AR34">AN12/AL12%</f>
        <v>#DIV/0!</v>
      </c>
      <c r="AS12" s="284"/>
      <c r="AT12" s="119"/>
      <c r="AU12" s="285"/>
      <c r="AV12" s="281">
        <f>AU12-'[1]01.09.19'!AO12</f>
        <v>0</v>
      </c>
      <c r="AW12" s="286">
        <f t="shared" si="12"/>
        <v>0</v>
      </c>
      <c r="AX12" s="350" t="e">
        <f t="shared" si="13"/>
        <v>#DIV/0!</v>
      </c>
      <c r="AY12" s="349" t="e">
        <f aca="true" t="shared" si="27" ref="AY12:AY34">AU12/AS12%</f>
        <v>#DIV/0!</v>
      </c>
      <c r="AZ12" s="284"/>
      <c r="BA12" s="119"/>
      <c r="BB12" s="285"/>
      <c r="BC12" s="281">
        <f>BB12-'[1]01.09.19'!AU12</f>
        <v>0</v>
      </c>
      <c r="BD12" s="286">
        <f t="shared" si="14"/>
        <v>0</v>
      </c>
      <c r="BE12" s="350" t="e">
        <f t="shared" si="15"/>
        <v>#DIV/0!</v>
      </c>
      <c r="BF12" s="349" t="e">
        <f aca="true" t="shared" si="28" ref="BF12:BF34">BB12/AZ12%</f>
        <v>#DIV/0!</v>
      </c>
      <c r="BG12" s="284"/>
      <c r="BH12" s="119"/>
      <c r="BI12" s="285"/>
      <c r="BJ12" s="281">
        <f>BI12-'[1]01.09.19'!BA12</f>
        <v>0</v>
      </c>
      <c r="BK12" s="286">
        <f t="shared" si="16"/>
        <v>0</v>
      </c>
      <c r="BL12" s="350" t="e">
        <f>BI12/BH12%</f>
        <v>#DIV/0!</v>
      </c>
      <c r="BM12" s="349" t="e">
        <f aca="true" t="shared" si="29" ref="BM12:BM34">BI12/BG12%</f>
        <v>#DIV/0!</v>
      </c>
      <c r="BN12" s="284"/>
      <c r="BO12" s="119"/>
      <c r="BP12" s="285"/>
      <c r="BQ12" s="281">
        <f>BP12-'[1]01.09.19'!BG12</f>
        <v>0</v>
      </c>
      <c r="BR12" s="286">
        <f t="shared" si="17"/>
        <v>0</v>
      </c>
      <c r="BS12" s="350" t="e">
        <f t="shared" si="18"/>
        <v>#DIV/0!</v>
      </c>
      <c r="BT12" s="349" t="e">
        <f aca="true" t="shared" si="30" ref="BT12:BT34">BP12/BN12%</f>
        <v>#DIV/0!</v>
      </c>
      <c r="BU12" s="284"/>
      <c r="BV12" s="119"/>
      <c r="BW12" s="285"/>
      <c r="BX12" s="281">
        <f>BW12-'[1]01.09.19'!BM12</f>
        <v>0</v>
      </c>
      <c r="BY12" s="286">
        <f t="shared" si="19"/>
        <v>0</v>
      </c>
      <c r="BZ12" s="350" t="e">
        <f t="shared" si="20"/>
        <v>#DIV/0!</v>
      </c>
      <c r="CA12" s="349" t="e">
        <f aca="true" t="shared" si="31" ref="CA12:CA34">BW12/BU12%</f>
        <v>#DIV/0!</v>
      </c>
      <c r="CB12" s="284"/>
      <c r="CC12" s="119"/>
      <c r="CD12" s="285"/>
      <c r="CE12" s="281">
        <f>CD12-'[1]01.09.19'!BS12</f>
        <v>0</v>
      </c>
      <c r="CF12" s="286">
        <f aca="true" t="shared" si="32" ref="CF12:CF27">CD12-CC12</f>
        <v>0</v>
      </c>
      <c r="CG12" s="350" t="e">
        <f>CD12/CC12%</f>
        <v>#DIV/0!</v>
      </c>
      <c r="CH12" s="349" t="e">
        <f aca="true" t="shared" si="33" ref="CH12:CH34">CD12/CB12%</f>
        <v>#DIV/0!</v>
      </c>
      <c r="CI12" s="288">
        <f t="shared" si="22"/>
        <v>0</v>
      </c>
      <c r="CJ12" s="220">
        <f t="shared" si="22"/>
        <v>0</v>
      </c>
      <c r="CK12" s="220">
        <f t="shared" si="22"/>
        <v>0</v>
      </c>
      <c r="CL12" s="286">
        <f aca="true" t="shared" si="34" ref="CL12:CL27">CK12-CJ12</f>
        <v>0</v>
      </c>
      <c r="CM12" s="286" t="e">
        <f aca="true" t="shared" si="35" ref="CM12:CM34">CK12/CJ12%</f>
        <v>#DIV/0!</v>
      </c>
      <c r="CN12" s="351" t="e">
        <f aca="true" t="shared" si="36" ref="CN12:CN34">CK12/CI12%</f>
        <v>#DIV/0!</v>
      </c>
      <c r="CO12" s="352"/>
    </row>
    <row r="13" spans="1:93" ht="12.75">
      <c r="A13" s="117" t="s">
        <v>26</v>
      </c>
      <c r="B13" s="121"/>
      <c r="C13" s="289">
        <v>1265.9</v>
      </c>
      <c r="D13" s="353">
        <v>1265.9</v>
      </c>
      <c r="E13" s="290">
        <v>1266.4</v>
      </c>
      <c r="F13" s="281">
        <f>E13-'[1]01.09.19'!E13</f>
        <v>0.3000000000001819</v>
      </c>
      <c r="G13" s="286">
        <f t="shared" si="23"/>
        <v>0.5</v>
      </c>
      <c r="H13" s="282"/>
      <c r="I13" s="349">
        <f>E13/C13%</f>
        <v>100.03949759064697</v>
      </c>
      <c r="J13" s="291">
        <v>65</v>
      </c>
      <c r="K13" s="353">
        <v>65</v>
      </c>
      <c r="L13" s="290">
        <v>261.2</v>
      </c>
      <c r="M13" s="281">
        <f>L13-'[1]01.09.19'!K13</f>
        <v>0</v>
      </c>
      <c r="N13" s="286">
        <f t="shared" si="2"/>
        <v>196.2</v>
      </c>
      <c r="O13" s="350">
        <f t="shared" si="3"/>
        <v>401.8461538461538</v>
      </c>
      <c r="P13" s="349">
        <f t="shared" si="24"/>
        <v>401.8461538461538</v>
      </c>
      <c r="Q13" s="289">
        <v>4.5</v>
      </c>
      <c r="R13" s="353">
        <v>4.5</v>
      </c>
      <c r="S13" s="290">
        <v>18.6</v>
      </c>
      <c r="T13" s="281">
        <f>S13-'[1]01.09.19'!Q13</f>
        <v>0</v>
      </c>
      <c r="U13" s="286">
        <f t="shared" si="4"/>
        <v>14.100000000000001</v>
      </c>
      <c r="V13" s="350"/>
      <c r="W13" s="349"/>
      <c r="X13" s="289">
        <v>60.6</v>
      </c>
      <c r="Y13" s="353">
        <v>60.6</v>
      </c>
      <c r="Z13" s="290">
        <v>55.3</v>
      </c>
      <c r="AA13" s="281">
        <f>Z13-'[1]01.09.19'!W13</f>
        <v>0</v>
      </c>
      <c r="AB13" s="286">
        <f t="shared" si="6"/>
        <v>-5.300000000000004</v>
      </c>
      <c r="AC13" s="350">
        <f t="shared" si="7"/>
        <v>91.25412541254126</v>
      </c>
      <c r="AD13" s="349"/>
      <c r="AE13" s="289">
        <v>216.7</v>
      </c>
      <c r="AF13" s="353">
        <v>138.7</v>
      </c>
      <c r="AG13" s="290">
        <v>330</v>
      </c>
      <c r="AH13" s="280">
        <f>AG13-'[1]01.09.19'!AC13</f>
        <v>1.1000000000000227</v>
      </c>
      <c r="AI13" s="286">
        <f t="shared" si="8"/>
        <v>191.3</v>
      </c>
      <c r="AJ13" s="379" t="s">
        <v>27</v>
      </c>
      <c r="AK13" s="349">
        <f>AG13/AE13%</f>
        <v>152.28426395939087</v>
      </c>
      <c r="AL13" s="289">
        <v>200</v>
      </c>
      <c r="AM13" s="353">
        <v>110</v>
      </c>
      <c r="AN13" s="290">
        <v>197.7</v>
      </c>
      <c r="AO13" s="281">
        <f>AN13-'[1]01.09.19'!AI13</f>
        <v>0.799999999999983</v>
      </c>
      <c r="AP13" s="286">
        <f t="shared" si="10"/>
        <v>87.69999999999999</v>
      </c>
      <c r="AQ13" s="379" t="s">
        <v>27</v>
      </c>
      <c r="AR13" s="349">
        <f t="shared" si="26"/>
        <v>98.85</v>
      </c>
      <c r="AS13" s="289">
        <v>249.2</v>
      </c>
      <c r="AT13" s="353">
        <v>249.2</v>
      </c>
      <c r="AU13" s="290">
        <v>504</v>
      </c>
      <c r="AV13" s="281">
        <f>AU13-'[1]01.09.19'!AO13</f>
        <v>0</v>
      </c>
      <c r="AW13" s="286">
        <f t="shared" si="12"/>
        <v>254.8</v>
      </c>
      <c r="AX13" s="350">
        <f t="shared" si="13"/>
        <v>202.24719101123597</v>
      </c>
      <c r="AY13" s="349">
        <f t="shared" si="27"/>
        <v>202.24719101123597</v>
      </c>
      <c r="AZ13" s="289">
        <v>620</v>
      </c>
      <c r="BA13" s="353">
        <v>620</v>
      </c>
      <c r="BB13" s="290">
        <v>646.5</v>
      </c>
      <c r="BC13" s="281">
        <f>BB13-'[1]01.09.19'!AU13</f>
        <v>9.399999999999977</v>
      </c>
      <c r="BD13" s="286">
        <f t="shared" si="14"/>
        <v>26.5</v>
      </c>
      <c r="BE13" s="350">
        <f t="shared" si="15"/>
        <v>104.27419354838709</v>
      </c>
      <c r="BF13" s="349">
        <f t="shared" si="28"/>
        <v>104.27419354838709</v>
      </c>
      <c r="BG13" s="289">
        <v>2392.1</v>
      </c>
      <c r="BH13" s="353">
        <v>2392.1</v>
      </c>
      <c r="BI13" s="290">
        <v>2480.3</v>
      </c>
      <c r="BJ13" s="281">
        <f>BI13-'[1]01.09.19'!BA13</f>
        <v>0</v>
      </c>
      <c r="BK13" s="286">
        <f t="shared" si="16"/>
        <v>88.20000000000027</v>
      </c>
      <c r="BL13" s="350">
        <f>BI13/BH13%</f>
        <v>103.68713682538356</v>
      </c>
      <c r="BM13" s="349">
        <f t="shared" si="29"/>
        <v>103.68713682538356</v>
      </c>
      <c r="BN13" s="289">
        <v>6.4</v>
      </c>
      <c r="BO13" s="353">
        <v>6.4</v>
      </c>
      <c r="BP13" s="290">
        <v>73.7</v>
      </c>
      <c r="BQ13" s="281">
        <f>BP13-'[1]01.09.19'!BG13</f>
        <v>0</v>
      </c>
      <c r="BR13" s="286">
        <f t="shared" si="17"/>
        <v>67.3</v>
      </c>
      <c r="BS13" s="379" t="s">
        <v>27</v>
      </c>
      <c r="BT13" s="380" t="s">
        <v>27</v>
      </c>
      <c r="BU13" s="289">
        <v>113.6</v>
      </c>
      <c r="BV13" s="353">
        <v>113.6</v>
      </c>
      <c r="BW13" s="290">
        <v>142.7</v>
      </c>
      <c r="BX13" s="281">
        <f>BW13-'[1]01.09.19'!BM13</f>
        <v>0</v>
      </c>
      <c r="BY13" s="286">
        <f t="shared" si="19"/>
        <v>29.099999999999994</v>
      </c>
      <c r="BZ13" s="350">
        <f t="shared" si="20"/>
        <v>125.61619718309859</v>
      </c>
      <c r="CA13" s="349">
        <f t="shared" si="31"/>
        <v>125.61619718309859</v>
      </c>
      <c r="CB13" s="289"/>
      <c r="CC13" s="353"/>
      <c r="CD13" s="290"/>
      <c r="CE13" s="281">
        <f>CD13-'[1]01.09.19'!BS13</f>
        <v>0</v>
      </c>
      <c r="CF13" s="286">
        <f t="shared" si="32"/>
        <v>0</v>
      </c>
      <c r="CG13" s="350"/>
      <c r="CH13" s="349"/>
      <c r="CI13" s="288">
        <f t="shared" si="22"/>
        <v>5194</v>
      </c>
      <c r="CJ13" s="220">
        <f t="shared" si="22"/>
        <v>5026</v>
      </c>
      <c r="CK13" s="220">
        <f t="shared" si="22"/>
        <v>5976.4</v>
      </c>
      <c r="CL13" s="286">
        <f t="shared" si="34"/>
        <v>950.3999999999996</v>
      </c>
      <c r="CM13" s="286">
        <f t="shared" si="35"/>
        <v>118.90966971746916</v>
      </c>
      <c r="CN13" s="351">
        <f t="shared" si="36"/>
        <v>115.06353484790142</v>
      </c>
      <c r="CO13" s="352"/>
    </row>
    <row r="14" spans="1:93" ht="12.75">
      <c r="A14" s="122" t="s">
        <v>65</v>
      </c>
      <c r="B14" s="121"/>
      <c r="C14" s="289">
        <v>3121.5</v>
      </c>
      <c r="D14" s="353">
        <v>2319.2</v>
      </c>
      <c r="E14" s="290">
        <v>2319.2</v>
      </c>
      <c r="F14" s="281">
        <f>E14-'[1]01.09.19'!E14</f>
        <v>689.8999999999999</v>
      </c>
      <c r="G14" s="286">
        <f t="shared" si="23"/>
        <v>0</v>
      </c>
      <c r="H14" s="282">
        <f t="shared" si="0"/>
        <v>100</v>
      </c>
      <c r="I14" s="349">
        <f t="shared" si="1"/>
        <v>74.29761332692615</v>
      </c>
      <c r="J14" s="291">
        <v>131.1</v>
      </c>
      <c r="K14" s="353">
        <v>53</v>
      </c>
      <c r="L14" s="290">
        <v>49.3</v>
      </c>
      <c r="M14" s="281">
        <f>L14-'[1]01.09.19'!K14</f>
        <v>12</v>
      </c>
      <c r="N14" s="286">
        <f t="shared" si="2"/>
        <v>-3.700000000000003</v>
      </c>
      <c r="O14" s="350">
        <f t="shared" si="3"/>
        <v>93.0188679245283</v>
      </c>
      <c r="P14" s="349">
        <f t="shared" si="24"/>
        <v>37.604881769641494</v>
      </c>
      <c r="Q14" s="289">
        <v>146.9</v>
      </c>
      <c r="R14" s="353">
        <v>140.6</v>
      </c>
      <c r="S14" s="290">
        <v>140.6</v>
      </c>
      <c r="T14" s="281">
        <f>S14-'[1]01.09.19'!Q14</f>
        <v>34.099999999999994</v>
      </c>
      <c r="U14" s="286">
        <f t="shared" si="4"/>
        <v>0</v>
      </c>
      <c r="V14" s="350">
        <f t="shared" si="5"/>
        <v>100</v>
      </c>
      <c r="W14" s="349">
        <f t="shared" si="25"/>
        <v>95.71136827773995</v>
      </c>
      <c r="X14" s="289">
        <v>141.7</v>
      </c>
      <c r="Y14" s="353">
        <v>5.1</v>
      </c>
      <c r="Z14" s="290">
        <v>22.9</v>
      </c>
      <c r="AA14" s="281">
        <f>Z14-'[1]01.09.19'!W14</f>
        <v>7.399999999999999</v>
      </c>
      <c r="AB14" s="286">
        <f t="shared" si="6"/>
        <v>17.799999999999997</v>
      </c>
      <c r="AC14" s="350">
        <f>Z14/Y14%</f>
        <v>449.01960784313724</v>
      </c>
      <c r="AD14" s="349">
        <f>Z14/X14%</f>
        <v>16.16090331686662</v>
      </c>
      <c r="AE14" s="289">
        <v>38</v>
      </c>
      <c r="AF14" s="353">
        <v>13.5</v>
      </c>
      <c r="AG14" s="290">
        <v>28.3</v>
      </c>
      <c r="AH14" s="280">
        <f>AG14-'[1]01.09.19'!AC14</f>
        <v>18</v>
      </c>
      <c r="AI14" s="286">
        <f t="shared" si="8"/>
        <v>14.8</v>
      </c>
      <c r="AJ14" s="381">
        <f t="shared" si="9"/>
        <v>209.62962962962962</v>
      </c>
      <c r="AK14" s="349">
        <f>AG14/AE14%</f>
        <v>74.47368421052632</v>
      </c>
      <c r="AL14" s="289">
        <v>353.4</v>
      </c>
      <c r="AM14" s="353">
        <v>132</v>
      </c>
      <c r="AN14" s="290">
        <v>110.9</v>
      </c>
      <c r="AO14" s="281">
        <f>AN14-'[1]01.09.19'!AI14</f>
        <v>32</v>
      </c>
      <c r="AP14" s="286">
        <f t="shared" si="10"/>
        <v>-21.099999999999994</v>
      </c>
      <c r="AQ14" s="350">
        <f t="shared" si="11"/>
        <v>84.01515151515152</v>
      </c>
      <c r="AR14" s="349">
        <f t="shared" si="26"/>
        <v>31.380871533672895</v>
      </c>
      <c r="AS14" s="289">
        <v>207.8</v>
      </c>
      <c r="AT14" s="353">
        <v>51.2</v>
      </c>
      <c r="AU14" s="290">
        <v>51.3</v>
      </c>
      <c r="AV14" s="281">
        <f>AU14-'[1]01.09.19'!AO14</f>
        <v>10.899999999999999</v>
      </c>
      <c r="AW14" s="286">
        <f t="shared" si="12"/>
        <v>0.09999999999999432</v>
      </c>
      <c r="AX14" s="350">
        <f t="shared" si="13"/>
        <v>100.19531249999999</v>
      </c>
      <c r="AY14" s="349">
        <f t="shared" si="27"/>
        <v>24.68719923002887</v>
      </c>
      <c r="AZ14" s="289">
        <v>173.6</v>
      </c>
      <c r="BA14" s="353">
        <v>19.4</v>
      </c>
      <c r="BB14" s="290">
        <v>22.7</v>
      </c>
      <c r="BC14" s="281">
        <f>BB14-'[1]01.09.19'!AU14</f>
        <v>12.299999999999999</v>
      </c>
      <c r="BD14" s="286">
        <f t="shared" si="14"/>
        <v>3.3000000000000007</v>
      </c>
      <c r="BE14" s="350">
        <f t="shared" si="15"/>
        <v>117.01030927835052</v>
      </c>
      <c r="BF14" s="349">
        <f t="shared" si="28"/>
        <v>13.076036866359447</v>
      </c>
      <c r="BG14" s="289">
        <v>327.5</v>
      </c>
      <c r="BH14" s="353">
        <v>147.5</v>
      </c>
      <c r="BI14" s="290">
        <v>147.6</v>
      </c>
      <c r="BJ14" s="281">
        <f>BI14-'[1]01.09.19'!BA14</f>
        <v>53.39999999999999</v>
      </c>
      <c r="BK14" s="286">
        <f t="shared" si="16"/>
        <v>0.09999999999999432</v>
      </c>
      <c r="BL14" s="350">
        <f>BI14/BH14%</f>
        <v>100.06779661016948</v>
      </c>
      <c r="BM14" s="349">
        <f t="shared" si="29"/>
        <v>45.06870229007634</v>
      </c>
      <c r="BN14" s="289">
        <v>89.2</v>
      </c>
      <c r="BO14" s="353">
        <v>14.7</v>
      </c>
      <c r="BP14" s="290">
        <v>15.6</v>
      </c>
      <c r="BQ14" s="281">
        <f>BP14-'[1]01.09.19'!BG14</f>
        <v>4.299999999999999</v>
      </c>
      <c r="BR14" s="286">
        <f t="shared" si="17"/>
        <v>0.9000000000000004</v>
      </c>
      <c r="BS14" s="350">
        <f t="shared" si="18"/>
        <v>106.12244897959184</v>
      </c>
      <c r="BT14" s="349">
        <f t="shared" si="30"/>
        <v>17.48878923766816</v>
      </c>
      <c r="BU14" s="289">
        <v>204.1</v>
      </c>
      <c r="BV14" s="353">
        <v>145</v>
      </c>
      <c r="BW14" s="290">
        <v>139.7</v>
      </c>
      <c r="BX14" s="281">
        <f>BW14-'[1]01.09.19'!BM14</f>
        <v>35.499999999999986</v>
      </c>
      <c r="BY14" s="286">
        <f t="shared" si="19"/>
        <v>-5.300000000000011</v>
      </c>
      <c r="BZ14" s="350">
        <f t="shared" si="20"/>
        <v>96.34482758620689</v>
      </c>
      <c r="CA14" s="349">
        <f t="shared" si="31"/>
        <v>68.4468397844194</v>
      </c>
      <c r="CB14" s="289">
        <v>467</v>
      </c>
      <c r="CC14" s="353">
        <v>210.3</v>
      </c>
      <c r="CD14" s="290">
        <v>210.4</v>
      </c>
      <c r="CE14" s="281">
        <f>CD14-'[1]01.09.19'!BS14</f>
        <v>39.900000000000006</v>
      </c>
      <c r="CF14" s="286">
        <f t="shared" si="32"/>
        <v>0.09999999999999432</v>
      </c>
      <c r="CG14" s="350">
        <f t="shared" si="21"/>
        <v>100.04755111745125</v>
      </c>
      <c r="CH14" s="349">
        <f t="shared" si="33"/>
        <v>45.05353319057816</v>
      </c>
      <c r="CI14" s="288">
        <f t="shared" si="22"/>
        <v>5401.8</v>
      </c>
      <c r="CJ14" s="220">
        <f t="shared" si="22"/>
        <v>3251.4999999999995</v>
      </c>
      <c r="CK14" s="220">
        <f t="shared" si="22"/>
        <v>3258.5</v>
      </c>
      <c r="CL14" s="286">
        <f t="shared" si="34"/>
        <v>7.000000000000455</v>
      </c>
      <c r="CM14" s="286">
        <f t="shared" si="35"/>
        <v>100.21528525296019</v>
      </c>
      <c r="CN14" s="351">
        <f t="shared" si="36"/>
        <v>60.32248509756007</v>
      </c>
      <c r="CO14" s="352"/>
    </row>
    <row r="15" spans="1:93" s="125" customFormat="1" ht="12.75">
      <c r="A15" s="123" t="s">
        <v>66</v>
      </c>
      <c r="B15" s="124"/>
      <c r="C15" s="292">
        <v>23694.8</v>
      </c>
      <c r="D15" s="354">
        <v>15610.7</v>
      </c>
      <c r="E15" s="293">
        <v>15610.7</v>
      </c>
      <c r="F15" s="281">
        <f>E15-'[1]01.09.19'!E15</f>
        <v>1692.7000000000007</v>
      </c>
      <c r="G15" s="286">
        <f t="shared" si="23"/>
        <v>0</v>
      </c>
      <c r="H15" s="282">
        <f t="shared" si="0"/>
        <v>100</v>
      </c>
      <c r="I15" s="349">
        <f t="shared" si="1"/>
        <v>65.88238769687865</v>
      </c>
      <c r="J15" s="294">
        <v>2590.6</v>
      </c>
      <c r="K15" s="354">
        <v>1513</v>
      </c>
      <c r="L15" s="293">
        <v>2105.3</v>
      </c>
      <c r="M15" s="281">
        <f>L15-'[1]01.09.19'!K15</f>
        <v>430.4000000000001</v>
      </c>
      <c r="N15" s="286">
        <f t="shared" si="2"/>
        <v>592.3000000000002</v>
      </c>
      <c r="O15" s="350">
        <f t="shared" si="3"/>
        <v>139.14738929279576</v>
      </c>
      <c r="P15" s="349">
        <f t="shared" si="24"/>
        <v>81.26688797961863</v>
      </c>
      <c r="Q15" s="292">
        <v>3165.9</v>
      </c>
      <c r="R15" s="354">
        <v>2548.9</v>
      </c>
      <c r="S15" s="293">
        <v>2548.9</v>
      </c>
      <c r="T15" s="281">
        <f>S15-'[1]01.09.19'!Q15</f>
        <v>100.90000000000009</v>
      </c>
      <c r="U15" s="286">
        <f t="shared" si="4"/>
        <v>0</v>
      </c>
      <c r="V15" s="350">
        <f t="shared" si="5"/>
        <v>100</v>
      </c>
      <c r="W15" s="349">
        <f t="shared" si="25"/>
        <v>80.51107110142455</v>
      </c>
      <c r="X15" s="292">
        <v>4036.8</v>
      </c>
      <c r="Y15" s="354">
        <v>859.9</v>
      </c>
      <c r="Z15" s="293">
        <v>1447.4</v>
      </c>
      <c r="AA15" s="281">
        <f>Z15-'[1]01.09.19'!W15</f>
        <v>411.9000000000001</v>
      </c>
      <c r="AB15" s="286">
        <f t="shared" si="6"/>
        <v>587.5000000000001</v>
      </c>
      <c r="AC15" s="350">
        <f t="shared" si="7"/>
        <v>168.3218978951041</v>
      </c>
      <c r="AD15" s="349">
        <f>Z15/X15%</f>
        <v>35.85513277843837</v>
      </c>
      <c r="AE15" s="292">
        <v>3950</v>
      </c>
      <c r="AF15" s="354">
        <v>816.5</v>
      </c>
      <c r="AG15" s="293">
        <v>2442.8</v>
      </c>
      <c r="AH15" s="280">
        <f>AG15-'[1]01.09.19'!AC15</f>
        <v>1022.9000000000001</v>
      </c>
      <c r="AI15" s="286">
        <f t="shared" si="8"/>
        <v>1626.3000000000002</v>
      </c>
      <c r="AJ15" s="379" t="s">
        <v>27</v>
      </c>
      <c r="AK15" s="349">
        <f>AG15/AE15%</f>
        <v>61.84303797468355</v>
      </c>
      <c r="AL15" s="292">
        <v>1800.8</v>
      </c>
      <c r="AM15" s="354">
        <v>814.8</v>
      </c>
      <c r="AN15" s="293">
        <v>975.7</v>
      </c>
      <c r="AO15" s="281">
        <f>AN15-'[1]01.09.19'!AI15</f>
        <v>48.60000000000002</v>
      </c>
      <c r="AP15" s="286">
        <f t="shared" si="10"/>
        <v>160.9000000000001</v>
      </c>
      <c r="AQ15" s="379" t="s">
        <v>27</v>
      </c>
      <c r="AR15" s="349">
        <f t="shared" si="26"/>
        <v>54.18147490004443</v>
      </c>
      <c r="AS15" s="292">
        <v>2818.5</v>
      </c>
      <c r="AT15" s="354">
        <v>1776</v>
      </c>
      <c r="AU15" s="293">
        <v>1776.1</v>
      </c>
      <c r="AV15" s="281">
        <f>AU15-'[1]01.09.19'!AO15</f>
        <v>437.6999999999998</v>
      </c>
      <c r="AW15" s="286">
        <f t="shared" si="12"/>
        <v>0.09999999999990905</v>
      </c>
      <c r="AX15" s="350">
        <f t="shared" si="13"/>
        <v>100.00563063063062</v>
      </c>
      <c r="AY15" s="349">
        <f t="shared" si="27"/>
        <v>63.01578854000355</v>
      </c>
      <c r="AZ15" s="292">
        <v>1891.8</v>
      </c>
      <c r="BA15" s="354">
        <v>919.3</v>
      </c>
      <c r="BB15" s="293">
        <v>992.3</v>
      </c>
      <c r="BC15" s="281">
        <f>BB15-'[1]01.09.19'!AU15</f>
        <v>549.1999999999999</v>
      </c>
      <c r="BD15" s="286">
        <f t="shared" si="14"/>
        <v>73</v>
      </c>
      <c r="BE15" s="350">
        <f t="shared" si="15"/>
        <v>107.94082454041119</v>
      </c>
      <c r="BF15" s="349">
        <f t="shared" si="28"/>
        <v>52.452690559255736</v>
      </c>
      <c r="BG15" s="292">
        <v>3079.5</v>
      </c>
      <c r="BH15" s="354">
        <v>1646.3</v>
      </c>
      <c r="BI15" s="293">
        <v>3194.7</v>
      </c>
      <c r="BJ15" s="281">
        <f>BI15-'[1]01.09.19'!BA15</f>
        <v>2016.1999999999998</v>
      </c>
      <c r="BK15" s="286">
        <f t="shared" si="16"/>
        <v>1548.3999999999999</v>
      </c>
      <c r="BL15" s="350">
        <f>BI15/BH15%</f>
        <v>194.05333171353942</v>
      </c>
      <c r="BM15" s="349">
        <f t="shared" si="29"/>
        <v>103.7408670238675</v>
      </c>
      <c r="BN15" s="292">
        <v>1421</v>
      </c>
      <c r="BO15" s="354">
        <v>423.7</v>
      </c>
      <c r="BP15" s="293">
        <v>431.3</v>
      </c>
      <c r="BQ15" s="281">
        <f>BP15-'[1]01.09.19'!BG15</f>
        <v>181.3</v>
      </c>
      <c r="BR15" s="286">
        <f t="shared" si="17"/>
        <v>7.600000000000023</v>
      </c>
      <c r="BS15" s="350">
        <f t="shared" si="18"/>
        <v>101.79372197309416</v>
      </c>
      <c r="BT15" s="349">
        <f t="shared" si="30"/>
        <v>30.351864883884588</v>
      </c>
      <c r="BU15" s="292">
        <v>1820.4</v>
      </c>
      <c r="BV15" s="354">
        <v>853.1</v>
      </c>
      <c r="BW15" s="293">
        <v>1108.6</v>
      </c>
      <c r="BX15" s="281">
        <f>BW15-'[1]01.09.19'!BM15</f>
        <v>119.89999999999986</v>
      </c>
      <c r="BY15" s="286">
        <f t="shared" si="19"/>
        <v>255.4999999999999</v>
      </c>
      <c r="BZ15" s="350">
        <f t="shared" si="20"/>
        <v>129.94959559254482</v>
      </c>
      <c r="CA15" s="349">
        <f t="shared" si="31"/>
        <v>60.89870358163041</v>
      </c>
      <c r="CB15" s="292">
        <v>4116</v>
      </c>
      <c r="CC15" s="354">
        <v>2860.4</v>
      </c>
      <c r="CD15" s="293">
        <v>2860.5</v>
      </c>
      <c r="CE15" s="281">
        <f>CD15-'[1]01.09.19'!BS15</f>
        <v>69.59999999999991</v>
      </c>
      <c r="CF15" s="286">
        <f t="shared" si="32"/>
        <v>0.09999999999990905</v>
      </c>
      <c r="CG15" s="350">
        <f t="shared" si="21"/>
        <v>100.00349601454343</v>
      </c>
      <c r="CH15" s="349">
        <f t="shared" si="33"/>
        <v>69.49708454810497</v>
      </c>
      <c r="CI15" s="288">
        <f t="shared" si="22"/>
        <v>54386.100000000006</v>
      </c>
      <c r="CJ15" s="220">
        <f t="shared" si="22"/>
        <v>30642.600000000002</v>
      </c>
      <c r="CK15" s="220">
        <f t="shared" si="22"/>
        <v>35494.3</v>
      </c>
      <c r="CL15" s="286">
        <f t="shared" si="34"/>
        <v>4851.700000000001</v>
      </c>
      <c r="CM15" s="286">
        <f t="shared" si="35"/>
        <v>115.83318647895413</v>
      </c>
      <c r="CN15" s="351">
        <f t="shared" si="36"/>
        <v>65.26355079698672</v>
      </c>
      <c r="CO15" s="355"/>
    </row>
    <row r="16" spans="1:93" ht="12.75" customHeight="1">
      <c r="A16" s="126" t="s">
        <v>67</v>
      </c>
      <c r="B16" s="127"/>
      <c r="C16" s="292"/>
      <c r="D16" s="356"/>
      <c r="E16" s="295"/>
      <c r="F16" s="281">
        <f>E16-'[1]01.09.19'!E16</f>
        <v>0</v>
      </c>
      <c r="G16" s="286">
        <f t="shared" si="23"/>
        <v>0</v>
      </c>
      <c r="H16" s="282"/>
      <c r="I16" s="349"/>
      <c r="J16" s="294">
        <v>70</v>
      </c>
      <c r="K16" s="356">
        <v>23.1</v>
      </c>
      <c r="L16" s="295">
        <v>24</v>
      </c>
      <c r="M16" s="281">
        <f>L16-'[1]01.09.19'!K16</f>
        <v>1.8000000000000007</v>
      </c>
      <c r="N16" s="286">
        <f t="shared" si="2"/>
        <v>0.8999999999999986</v>
      </c>
      <c r="O16" s="350">
        <f t="shared" si="3"/>
        <v>103.8961038961039</v>
      </c>
      <c r="P16" s="349">
        <f t="shared" si="24"/>
        <v>34.285714285714285</v>
      </c>
      <c r="Q16" s="292">
        <v>73.7</v>
      </c>
      <c r="R16" s="356">
        <v>68.5</v>
      </c>
      <c r="S16" s="295">
        <v>68.4</v>
      </c>
      <c r="T16" s="281">
        <f>S16-'[1]01.09.19'!Q16</f>
        <v>2.5</v>
      </c>
      <c r="U16" s="286">
        <f t="shared" si="4"/>
        <v>-0.09999999999999432</v>
      </c>
      <c r="V16" s="350">
        <f t="shared" si="5"/>
        <v>99.85401459854015</v>
      </c>
      <c r="W16" s="349">
        <f t="shared" si="25"/>
        <v>92.80868385345998</v>
      </c>
      <c r="X16" s="292">
        <v>27</v>
      </c>
      <c r="Y16" s="356">
        <v>14.9</v>
      </c>
      <c r="Z16" s="295">
        <v>14.7</v>
      </c>
      <c r="AA16" s="281">
        <f>Z16-'[1]01.09.19'!W16</f>
        <v>0.5999999999999996</v>
      </c>
      <c r="AB16" s="286">
        <f t="shared" si="6"/>
        <v>-0.20000000000000107</v>
      </c>
      <c r="AC16" s="350">
        <f t="shared" si="7"/>
        <v>98.65771812080537</v>
      </c>
      <c r="AD16" s="349">
        <f>Z16/X16%</f>
        <v>54.444444444444436</v>
      </c>
      <c r="AE16" s="292">
        <v>44.3</v>
      </c>
      <c r="AF16" s="356">
        <v>35.2</v>
      </c>
      <c r="AG16" s="295">
        <v>43.7</v>
      </c>
      <c r="AH16" s="280">
        <f>AG16-'[1]01.09.19'!AC16</f>
        <v>4.200000000000003</v>
      </c>
      <c r="AI16" s="286">
        <f t="shared" si="8"/>
        <v>8.5</v>
      </c>
      <c r="AJ16" s="381">
        <f t="shared" si="9"/>
        <v>124.14772727272727</v>
      </c>
      <c r="AK16" s="349">
        <f>AG16/AE16%</f>
        <v>98.64559819413094</v>
      </c>
      <c r="AL16" s="292">
        <v>85.2</v>
      </c>
      <c r="AM16" s="356">
        <v>53.7</v>
      </c>
      <c r="AN16" s="295">
        <v>38.1</v>
      </c>
      <c r="AO16" s="281">
        <f>AN16-'[1]01.09.19'!AI16</f>
        <v>2.8000000000000043</v>
      </c>
      <c r="AP16" s="286">
        <f t="shared" si="10"/>
        <v>-15.600000000000001</v>
      </c>
      <c r="AQ16" s="350">
        <f t="shared" si="11"/>
        <v>70.94972067039106</v>
      </c>
      <c r="AR16" s="349">
        <f t="shared" si="26"/>
        <v>44.718309859154935</v>
      </c>
      <c r="AS16" s="292">
        <v>68</v>
      </c>
      <c r="AT16" s="356">
        <v>20.4</v>
      </c>
      <c r="AU16" s="295">
        <v>20.4</v>
      </c>
      <c r="AV16" s="281">
        <f>AU16-'[1]01.09.19'!AO16</f>
        <v>0.3999999999999986</v>
      </c>
      <c r="AW16" s="286">
        <f t="shared" si="12"/>
        <v>0</v>
      </c>
      <c r="AX16" s="350">
        <f t="shared" si="13"/>
        <v>100</v>
      </c>
      <c r="AY16" s="349">
        <f t="shared" si="27"/>
        <v>29.999999999999996</v>
      </c>
      <c r="AZ16" s="292">
        <v>21.6</v>
      </c>
      <c r="BA16" s="356">
        <v>21.6</v>
      </c>
      <c r="BB16" s="295">
        <v>30.8</v>
      </c>
      <c r="BC16" s="281">
        <f>BB16-'[1]01.09.19'!AU16</f>
        <v>2.400000000000002</v>
      </c>
      <c r="BD16" s="286">
        <f t="shared" si="14"/>
        <v>9.2</v>
      </c>
      <c r="BE16" s="350">
        <f t="shared" si="15"/>
        <v>142.59259259259258</v>
      </c>
      <c r="BF16" s="349">
        <f t="shared" si="28"/>
        <v>142.59259259259258</v>
      </c>
      <c r="BG16" s="292">
        <v>14.5</v>
      </c>
      <c r="BH16" s="356">
        <v>8.2</v>
      </c>
      <c r="BI16" s="295">
        <v>8.2</v>
      </c>
      <c r="BJ16" s="281">
        <f>BI16-'[1]01.09.19'!BA16</f>
        <v>0.09999999999999964</v>
      </c>
      <c r="BK16" s="286">
        <f t="shared" si="16"/>
        <v>0</v>
      </c>
      <c r="BL16" s="350">
        <f>BI16/BH16%</f>
        <v>100</v>
      </c>
      <c r="BM16" s="349">
        <f t="shared" si="29"/>
        <v>56.55172413793103</v>
      </c>
      <c r="BN16" s="292">
        <v>23.4</v>
      </c>
      <c r="BO16" s="356">
        <v>23.4</v>
      </c>
      <c r="BP16" s="295">
        <v>35.8</v>
      </c>
      <c r="BQ16" s="281">
        <f>BP16-'[1]01.09.19'!BG16</f>
        <v>1.2999999999999972</v>
      </c>
      <c r="BR16" s="286">
        <f t="shared" si="17"/>
        <v>12.399999999999999</v>
      </c>
      <c r="BS16" s="350">
        <f t="shared" si="18"/>
        <v>152.991452991453</v>
      </c>
      <c r="BT16" s="349">
        <f t="shared" si="30"/>
        <v>152.991452991453</v>
      </c>
      <c r="BU16" s="292">
        <v>67.8</v>
      </c>
      <c r="BV16" s="356">
        <v>60.3</v>
      </c>
      <c r="BW16" s="295">
        <v>73.8</v>
      </c>
      <c r="BX16" s="281">
        <f>BW16-'[1]01.09.19'!BM16</f>
        <v>2.700000000000003</v>
      </c>
      <c r="BY16" s="286">
        <f t="shared" si="19"/>
        <v>13.5</v>
      </c>
      <c r="BZ16" s="350">
        <f t="shared" si="20"/>
        <v>122.38805970149254</v>
      </c>
      <c r="CA16" s="349">
        <f t="shared" si="31"/>
        <v>108.8495575221239</v>
      </c>
      <c r="CB16" s="292">
        <v>74.3</v>
      </c>
      <c r="CC16" s="356">
        <v>53.2</v>
      </c>
      <c r="CD16" s="295">
        <v>54.5</v>
      </c>
      <c r="CE16" s="281">
        <f>CD16-'[1]01.09.19'!BS16</f>
        <v>4.700000000000003</v>
      </c>
      <c r="CF16" s="286">
        <f t="shared" si="32"/>
        <v>1.2999999999999972</v>
      </c>
      <c r="CG16" s="350">
        <f t="shared" si="21"/>
        <v>102.44360902255639</v>
      </c>
      <c r="CH16" s="349">
        <f t="shared" si="33"/>
        <v>73.35127860026918</v>
      </c>
      <c r="CI16" s="288">
        <f t="shared" si="22"/>
        <v>569.8</v>
      </c>
      <c r="CJ16" s="220">
        <f t="shared" si="22"/>
        <v>382.49999999999994</v>
      </c>
      <c r="CK16" s="220">
        <f t="shared" si="22"/>
        <v>412.40000000000003</v>
      </c>
      <c r="CL16" s="286">
        <f t="shared" si="34"/>
        <v>29.90000000000009</v>
      </c>
      <c r="CM16" s="286">
        <f t="shared" si="35"/>
        <v>107.81699346405232</v>
      </c>
      <c r="CN16" s="351">
        <f t="shared" si="36"/>
        <v>72.37627237627238</v>
      </c>
      <c r="CO16" s="352"/>
    </row>
    <row r="17" spans="1:93" ht="21.75" customHeight="1">
      <c r="A17" s="126" t="s">
        <v>68</v>
      </c>
      <c r="B17" s="127"/>
      <c r="C17" s="292"/>
      <c r="D17" s="356"/>
      <c r="E17" s="296"/>
      <c r="F17" s="281">
        <f>E17-'[1]01.09.19'!E17</f>
        <v>0</v>
      </c>
      <c r="G17" s="286">
        <f t="shared" si="23"/>
        <v>0</v>
      </c>
      <c r="H17" s="282"/>
      <c r="I17" s="349"/>
      <c r="J17" s="294"/>
      <c r="K17" s="356"/>
      <c r="L17" s="296"/>
      <c r="M17" s="281">
        <f>L17-'[1]01.09.19'!K17</f>
        <v>0</v>
      </c>
      <c r="N17" s="286">
        <f t="shared" si="2"/>
        <v>0</v>
      </c>
      <c r="O17" s="350"/>
      <c r="P17" s="349"/>
      <c r="Q17" s="292"/>
      <c r="R17" s="356"/>
      <c r="S17" s="296"/>
      <c r="T17" s="281">
        <f>S17-'[1]01.09.19'!Q17</f>
        <v>0</v>
      </c>
      <c r="U17" s="286">
        <f t="shared" si="4"/>
        <v>0</v>
      </c>
      <c r="V17" s="350"/>
      <c r="W17" s="349"/>
      <c r="X17" s="292"/>
      <c r="Y17" s="356"/>
      <c r="Z17" s="296"/>
      <c r="AA17" s="281">
        <f>Z17-'[1]01.09.19'!W17</f>
        <v>0</v>
      </c>
      <c r="AB17" s="286">
        <f t="shared" si="6"/>
        <v>0</v>
      </c>
      <c r="AC17" s="350"/>
      <c r="AD17" s="349"/>
      <c r="AE17" s="292"/>
      <c r="AF17" s="356"/>
      <c r="AG17" s="296"/>
      <c r="AH17" s="280">
        <f>AG17-'[1]01.09.19'!AC17</f>
        <v>0</v>
      </c>
      <c r="AI17" s="286">
        <f t="shared" si="8"/>
        <v>0</v>
      </c>
      <c r="AJ17" s="381"/>
      <c r="AK17" s="349"/>
      <c r="AL17" s="292"/>
      <c r="AM17" s="356"/>
      <c r="AN17" s="296"/>
      <c r="AO17" s="281">
        <f>AN17-'[1]01.09.19'!AI17</f>
        <v>0</v>
      </c>
      <c r="AP17" s="286">
        <f t="shared" si="10"/>
        <v>0</v>
      </c>
      <c r="AQ17" s="350"/>
      <c r="AR17" s="349"/>
      <c r="AS17" s="292"/>
      <c r="AT17" s="356"/>
      <c r="AU17" s="296"/>
      <c r="AV17" s="281">
        <f>AU17-'[1]01.09.19'!AO17</f>
        <v>0</v>
      </c>
      <c r="AW17" s="286">
        <f t="shared" si="12"/>
        <v>0</v>
      </c>
      <c r="AX17" s="350"/>
      <c r="AY17" s="349"/>
      <c r="AZ17" s="292"/>
      <c r="BA17" s="356"/>
      <c r="BB17" s="296"/>
      <c r="BC17" s="281">
        <f>BB17-'[1]01.09.19'!AU17</f>
        <v>0</v>
      </c>
      <c r="BD17" s="286">
        <f t="shared" si="14"/>
        <v>0</v>
      </c>
      <c r="BE17" s="350"/>
      <c r="BF17" s="349"/>
      <c r="BG17" s="292"/>
      <c r="BH17" s="356"/>
      <c r="BI17" s="296"/>
      <c r="BJ17" s="281">
        <f>BI17-'[1]01.09.19'!BA17</f>
        <v>0</v>
      </c>
      <c r="BK17" s="286">
        <f t="shared" si="16"/>
        <v>0</v>
      </c>
      <c r="BL17" s="350"/>
      <c r="BM17" s="349"/>
      <c r="BN17" s="292"/>
      <c r="BO17" s="356"/>
      <c r="BP17" s="296"/>
      <c r="BQ17" s="281">
        <f>BP17-'[1]01.09.19'!BG17</f>
        <v>0</v>
      </c>
      <c r="BR17" s="286">
        <f t="shared" si="17"/>
        <v>0</v>
      </c>
      <c r="BS17" s="350"/>
      <c r="BT17" s="349"/>
      <c r="BU17" s="292"/>
      <c r="BV17" s="356"/>
      <c r="BW17" s="296"/>
      <c r="BX17" s="281">
        <f>BW17-'[1]01.09.19'!BM17</f>
        <v>0</v>
      </c>
      <c r="BY17" s="286">
        <f t="shared" si="19"/>
        <v>0</v>
      </c>
      <c r="BZ17" s="350"/>
      <c r="CA17" s="349"/>
      <c r="CB17" s="292"/>
      <c r="CC17" s="356"/>
      <c r="CD17" s="296"/>
      <c r="CE17" s="281">
        <f>CD17-'[1]01.09.19'!BS17</f>
        <v>0</v>
      </c>
      <c r="CF17" s="286">
        <f t="shared" si="32"/>
        <v>0</v>
      </c>
      <c r="CG17" s="350"/>
      <c r="CH17" s="349"/>
      <c r="CI17" s="288">
        <f t="shared" si="22"/>
        <v>0</v>
      </c>
      <c r="CJ17" s="220">
        <f t="shared" si="22"/>
        <v>0</v>
      </c>
      <c r="CK17" s="220">
        <f t="shared" si="22"/>
        <v>0</v>
      </c>
      <c r="CL17" s="286">
        <f t="shared" si="34"/>
        <v>0</v>
      </c>
      <c r="CM17" s="286"/>
      <c r="CN17" s="351"/>
      <c r="CO17" s="352"/>
    </row>
    <row r="18" spans="1:93" s="130" customFormat="1" ht="21.75" customHeight="1">
      <c r="A18" s="128" t="s">
        <v>69</v>
      </c>
      <c r="B18" s="129"/>
      <c r="C18" s="297">
        <f>SUM(C19:C27)</f>
        <v>10102.399999999998</v>
      </c>
      <c r="D18" s="298">
        <f>SUM(D19:D27)</f>
        <v>8452.299999999997</v>
      </c>
      <c r="E18" s="298">
        <f>SUM(E19:E27)</f>
        <v>9554.999999999996</v>
      </c>
      <c r="F18" s="281">
        <f>E18-'[1]01.09.19'!E18</f>
        <v>951.8999999999978</v>
      </c>
      <c r="G18" s="357">
        <f t="shared" si="23"/>
        <v>1102.699999999999</v>
      </c>
      <c r="H18" s="282">
        <f t="shared" si="0"/>
        <v>113.0461531180862</v>
      </c>
      <c r="I18" s="347">
        <f aca="true" t="shared" si="37" ref="I18:I25">E18/C18%</f>
        <v>94.58148558758313</v>
      </c>
      <c r="J18" s="297">
        <f>SUM(J19:J27)</f>
        <v>449.70000000000005</v>
      </c>
      <c r="K18" s="298">
        <f>SUM(K19:K27)</f>
        <v>241.4</v>
      </c>
      <c r="L18" s="298">
        <f>SUM(L19:L27)</f>
        <v>217.20000000000002</v>
      </c>
      <c r="M18" s="281">
        <f>L18-'[1]01.09.19'!K18</f>
        <v>0</v>
      </c>
      <c r="N18" s="357">
        <f t="shared" si="2"/>
        <v>-24.19999999999999</v>
      </c>
      <c r="O18" s="358">
        <f>L18/K18%</f>
        <v>89.97514498757249</v>
      </c>
      <c r="P18" s="347">
        <f t="shared" si="24"/>
        <v>48.29886591060707</v>
      </c>
      <c r="Q18" s="297">
        <f>SUM(Q19:Q27)</f>
        <v>374.7</v>
      </c>
      <c r="R18" s="298">
        <f>SUM(R19:R27)</f>
        <v>270.5</v>
      </c>
      <c r="S18" s="298">
        <f>SUM(S19:S27)</f>
        <v>323.70000000000005</v>
      </c>
      <c r="T18" s="281">
        <f>S18-'[1]01.09.19'!Q18</f>
        <v>62.60000000000008</v>
      </c>
      <c r="U18" s="357">
        <f t="shared" si="4"/>
        <v>53.200000000000045</v>
      </c>
      <c r="V18" s="358">
        <f>S18/R18%</f>
        <v>119.66728280961185</v>
      </c>
      <c r="W18" s="347">
        <f t="shared" si="25"/>
        <v>86.38911128903123</v>
      </c>
      <c r="X18" s="297">
        <f>SUM(X19:X27)</f>
        <v>107.89999999999999</v>
      </c>
      <c r="Y18" s="298">
        <f>SUM(Y19:Y27)</f>
        <v>54.2</v>
      </c>
      <c r="Z18" s="298">
        <f>SUM(Z19:Z27)</f>
        <v>55.2</v>
      </c>
      <c r="AA18" s="281">
        <f>Z18-'[1]01.09.19'!W18</f>
        <v>23</v>
      </c>
      <c r="AB18" s="357">
        <f t="shared" si="6"/>
        <v>1</v>
      </c>
      <c r="AC18" s="358">
        <f>Z18/Y18%</f>
        <v>101.8450184501845</v>
      </c>
      <c r="AD18" s="347">
        <f>Z18/X18%</f>
        <v>51.15848007414273</v>
      </c>
      <c r="AE18" s="297">
        <f>SUM(AE19:AE27)</f>
        <v>108.50000000000001</v>
      </c>
      <c r="AF18" s="298">
        <f>SUM(AF19:AF27)</f>
        <v>40.9</v>
      </c>
      <c r="AG18" s="298">
        <f>SUM(AG19:AG27)</f>
        <v>70.39999999999999</v>
      </c>
      <c r="AH18" s="280">
        <f>AG18-'[1]01.09.19'!AC18</f>
        <v>5.8999999999999915</v>
      </c>
      <c r="AI18" s="357">
        <f t="shared" si="8"/>
        <v>29.499999999999993</v>
      </c>
      <c r="AJ18" s="382">
        <f>AG18/AF18%</f>
        <v>172.12713936430316</v>
      </c>
      <c r="AK18" s="347">
        <f>AG18/AE18%</f>
        <v>64.88479262672809</v>
      </c>
      <c r="AL18" s="297">
        <f>SUM(AL19:AL27)</f>
        <v>279</v>
      </c>
      <c r="AM18" s="298">
        <f>SUM(AM19:AM27)</f>
        <v>195.40000000000003</v>
      </c>
      <c r="AN18" s="298">
        <f>SUM(AN19:AN27)</f>
        <v>150.5</v>
      </c>
      <c r="AO18" s="281">
        <f>AN18-'[1]01.09.19'!AI18</f>
        <v>21.200000000000017</v>
      </c>
      <c r="AP18" s="357">
        <f t="shared" si="10"/>
        <v>-44.900000000000034</v>
      </c>
      <c r="AQ18" s="358">
        <f>AN18/AM18%</f>
        <v>77.02149437052199</v>
      </c>
      <c r="AR18" s="347">
        <f t="shared" si="26"/>
        <v>53.9426523297491</v>
      </c>
      <c r="AS18" s="297">
        <f>SUM(AS19:AS27)</f>
        <v>472.7</v>
      </c>
      <c r="AT18" s="298">
        <f>SUM(AT19:AT27)</f>
        <v>399.50000000000006</v>
      </c>
      <c r="AU18" s="298">
        <f>SUM(AU19:AU27)</f>
        <v>399.40000000000003</v>
      </c>
      <c r="AV18" s="281">
        <f>AU18-'[1]01.09.19'!AO18</f>
        <v>153.60000000000002</v>
      </c>
      <c r="AW18" s="357">
        <f t="shared" si="12"/>
        <v>-0.10000000000002274</v>
      </c>
      <c r="AX18" s="358">
        <f>AU18/AT18%</f>
        <v>99.9749687108886</v>
      </c>
      <c r="AY18" s="347">
        <f t="shared" si="27"/>
        <v>84.49333615400889</v>
      </c>
      <c r="AZ18" s="297">
        <f>SUM(AZ19:AZ27)</f>
        <v>723.4</v>
      </c>
      <c r="BA18" s="298">
        <f>SUM(BA19:BA27)</f>
        <v>689.1</v>
      </c>
      <c r="BB18" s="298">
        <f>SUM(BB19:BB27)</f>
        <v>681</v>
      </c>
      <c r="BC18" s="281">
        <f>BB18-'[1]01.09.19'!AU18</f>
        <v>18.5</v>
      </c>
      <c r="BD18" s="357">
        <f t="shared" si="14"/>
        <v>-8.100000000000023</v>
      </c>
      <c r="BE18" s="358">
        <f>BB18/BA18%</f>
        <v>98.82455376578146</v>
      </c>
      <c r="BF18" s="347">
        <f t="shared" si="28"/>
        <v>94.1387890517003</v>
      </c>
      <c r="BG18" s="297">
        <f>SUM(BG19:BG27)</f>
        <v>40.300000000000004</v>
      </c>
      <c r="BH18" s="298">
        <f>SUM(BH19:BH27)</f>
        <v>13.2</v>
      </c>
      <c r="BI18" s="298">
        <f>SUM(BI19:BI27)</f>
        <v>68.3</v>
      </c>
      <c r="BJ18" s="281">
        <f>BI18-'[1]01.09.19'!BA18</f>
        <v>6.099999999999994</v>
      </c>
      <c r="BK18" s="357">
        <f t="shared" si="16"/>
        <v>55.099999999999994</v>
      </c>
      <c r="BL18" s="358">
        <f>BI18/BH18%</f>
        <v>517.4242424242424</v>
      </c>
      <c r="BM18" s="347">
        <f t="shared" si="29"/>
        <v>169.4789081885856</v>
      </c>
      <c r="BN18" s="297">
        <f>SUM(BN19:BN27)</f>
        <v>76.4</v>
      </c>
      <c r="BO18" s="298">
        <f>SUM(BO19:BO27)</f>
        <v>44.699999999999996</v>
      </c>
      <c r="BP18" s="298">
        <f>SUM(BP19:BP27)</f>
        <v>53.1</v>
      </c>
      <c r="BQ18" s="281">
        <f>BP18-'[1]01.09.19'!BG18</f>
        <v>4.200000000000003</v>
      </c>
      <c r="BR18" s="357">
        <f t="shared" si="17"/>
        <v>8.400000000000006</v>
      </c>
      <c r="BS18" s="358">
        <f>BP18/BO18%</f>
        <v>118.79194630872485</v>
      </c>
      <c r="BT18" s="347">
        <f t="shared" si="30"/>
        <v>69.50261780104712</v>
      </c>
      <c r="BU18" s="297">
        <f>SUM(BU19:BU27)</f>
        <v>417.4</v>
      </c>
      <c r="BV18" s="298">
        <f>SUM(BV19:BV27)</f>
        <v>257.5</v>
      </c>
      <c r="BW18" s="298">
        <f>SUM(BW19:BW27)</f>
        <v>290.99999999999994</v>
      </c>
      <c r="BX18" s="281">
        <f>BW18-'[1]01.09.19'!BM18</f>
        <v>62.89999999999992</v>
      </c>
      <c r="BY18" s="357">
        <f t="shared" si="19"/>
        <v>33.49999999999994</v>
      </c>
      <c r="BZ18" s="358">
        <f>BW18/BV18%</f>
        <v>113.00970873786405</v>
      </c>
      <c r="CA18" s="347">
        <f t="shared" si="31"/>
        <v>69.7172975563009</v>
      </c>
      <c r="CB18" s="297">
        <f>SUM(CB19:CB27)</f>
        <v>1545.0000000000002</v>
      </c>
      <c r="CC18" s="298">
        <f>SUM(CC19:CC27)</f>
        <v>1120</v>
      </c>
      <c r="CD18" s="298">
        <f>SUM(CD19:CD27)</f>
        <v>1258.4</v>
      </c>
      <c r="CE18" s="281">
        <f>CD18-'[1]01.09.19'!BS18</f>
        <v>131.30000000000018</v>
      </c>
      <c r="CF18" s="357">
        <f t="shared" si="32"/>
        <v>138.4000000000001</v>
      </c>
      <c r="CG18" s="358">
        <f>CD18/CC18%</f>
        <v>112.35714285714288</v>
      </c>
      <c r="CH18" s="347">
        <f t="shared" si="33"/>
        <v>81.44983818770226</v>
      </c>
      <c r="CI18" s="279">
        <f t="shared" si="22"/>
        <v>14697.399999999998</v>
      </c>
      <c r="CJ18" s="299">
        <f t="shared" si="22"/>
        <v>11778.699999999999</v>
      </c>
      <c r="CK18" s="299">
        <f t="shared" si="22"/>
        <v>13123.199999999997</v>
      </c>
      <c r="CL18" s="357">
        <f t="shared" si="34"/>
        <v>1344.4999999999982</v>
      </c>
      <c r="CM18" s="357">
        <f t="shared" si="35"/>
        <v>111.41467224736175</v>
      </c>
      <c r="CN18" s="348">
        <f t="shared" si="36"/>
        <v>89.28926204634833</v>
      </c>
      <c r="CO18" s="359"/>
    </row>
    <row r="19" spans="1:93" s="133" customFormat="1" ht="12.75">
      <c r="A19" s="131" t="s">
        <v>70</v>
      </c>
      <c r="B19" s="132"/>
      <c r="C19" s="300">
        <v>4939.8</v>
      </c>
      <c r="D19" s="360">
        <v>4214.4</v>
      </c>
      <c r="E19" s="301">
        <v>4214.4</v>
      </c>
      <c r="F19" s="281">
        <f>E19-'[1]01.09.19'!E19</f>
        <v>326.39999999999964</v>
      </c>
      <c r="G19" s="286">
        <f t="shared" si="23"/>
        <v>0</v>
      </c>
      <c r="H19" s="282">
        <f t="shared" si="0"/>
        <v>100</v>
      </c>
      <c r="I19" s="349">
        <f t="shared" si="37"/>
        <v>85.31519494716385</v>
      </c>
      <c r="J19" s="302">
        <v>366.8</v>
      </c>
      <c r="K19" s="360">
        <v>220</v>
      </c>
      <c r="L19" s="301">
        <v>146.2</v>
      </c>
      <c r="M19" s="281">
        <f>L19-'[1]01.09.19'!K19</f>
        <v>0</v>
      </c>
      <c r="N19" s="286">
        <f t="shared" si="2"/>
        <v>-73.80000000000001</v>
      </c>
      <c r="O19" s="350"/>
      <c r="P19" s="349">
        <f t="shared" si="24"/>
        <v>39.858233369683745</v>
      </c>
      <c r="Q19" s="300">
        <v>185</v>
      </c>
      <c r="R19" s="360">
        <v>144.7</v>
      </c>
      <c r="S19" s="301">
        <v>144.7</v>
      </c>
      <c r="T19" s="281">
        <f>S19-'[1]01.09.19'!Q19</f>
        <v>48.19999999999999</v>
      </c>
      <c r="U19" s="286">
        <f t="shared" si="4"/>
        <v>0</v>
      </c>
      <c r="V19" s="350">
        <f>S19/R19%</f>
        <v>100</v>
      </c>
      <c r="W19" s="349">
        <f t="shared" si="25"/>
        <v>78.21621621621621</v>
      </c>
      <c r="X19" s="300">
        <v>49.2</v>
      </c>
      <c r="Y19" s="360">
        <v>29</v>
      </c>
      <c r="Z19" s="301">
        <v>35.6</v>
      </c>
      <c r="AA19" s="281">
        <f>Z19-'[1]01.09.19'!W19</f>
        <v>26.200000000000003</v>
      </c>
      <c r="AB19" s="286">
        <f t="shared" si="6"/>
        <v>6.600000000000001</v>
      </c>
      <c r="AC19" s="350">
        <f>Z19/Y19%</f>
        <v>122.75862068965519</v>
      </c>
      <c r="AD19" s="349">
        <f>Z19/X19%</f>
        <v>72.35772357723577</v>
      </c>
      <c r="AE19" s="300">
        <v>92.2</v>
      </c>
      <c r="AF19" s="360">
        <v>24.6</v>
      </c>
      <c r="AG19" s="301">
        <v>49.9</v>
      </c>
      <c r="AH19" s="280">
        <f>AG19-'[1]01.09.19'!AC19</f>
        <v>5.899999999999999</v>
      </c>
      <c r="AI19" s="286">
        <f t="shared" si="8"/>
        <v>25.299999999999997</v>
      </c>
      <c r="AJ19" s="379" t="s">
        <v>27</v>
      </c>
      <c r="AK19" s="349"/>
      <c r="AL19" s="300"/>
      <c r="AM19" s="360"/>
      <c r="AN19" s="301"/>
      <c r="AO19" s="281">
        <f>AN19-'[1]01.09.19'!AI19</f>
        <v>0</v>
      </c>
      <c r="AP19" s="286">
        <f t="shared" si="10"/>
        <v>0</v>
      </c>
      <c r="AQ19" s="350"/>
      <c r="AR19" s="349"/>
      <c r="AS19" s="300">
        <v>410.7</v>
      </c>
      <c r="AT19" s="360">
        <v>360.6</v>
      </c>
      <c r="AU19" s="301">
        <v>360.5</v>
      </c>
      <c r="AV19" s="281">
        <f>AU19-'[1]01.09.19'!AO19</f>
        <v>153.6</v>
      </c>
      <c r="AW19" s="286">
        <f t="shared" si="12"/>
        <v>-0.10000000000002274</v>
      </c>
      <c r="AX19" s="350">
        <f>AU19/AT19%</f>
        <v>99.9722684414864</v>
      </c>
      <c r="AY19" s="349">
        <f t="shared" si="27"/>
        <v>87.77696615534452</v>
      </c>
      <c r="AZ19" s="300">
        <v>76.9</v>
      </c>
      <c r="BA19" s="360">
        <v>52.6</v>
      </c>
      <c r="BB19" s="301">
        <v>64.3</v>
      </c>
      <c r="BC19" s="281">
        <f>BB19-'[1]01.09.19'!AU19</f>
        <v>16.599999999999994</v>
      </c>
      <c r="BD19" s="286">
        <f t="shared" si="14"/>
        <v>11.699999999999996</v>
      </c>
      <c r="BE19" s="350">
        <f>BB19/BA19%</f>
        <v>122.24334600760456</v>
      </c>
      <c r="BF19" s="347">
        <f t="shared" si="28"/>
        <v>83.6150845253576</v>
      </c>
      <c r="BG19" s="300">
        <v>20.5</v>
      </c>
      <c r="BH19" s="360"/>
      <c r="BI19" s="301"/>
      <c r="BJ19" s="281">
        <f>BI19-'[1]01.09.19'!BA19</f>
        <v>0</v>
      </c>
      <c r="BK19" s="286">
        <f t="shared" si="16"/>
        <v>0</v>
      </c>
      <c r="BL19" s="350"/>
      <c r="BM19" s="347">
        <f t="shared" si="29"/>
        <v>0</v>
      </c>
      <c r="BN19" s="300"/>
      <c r="BO19" s="360"/>
      <c r="BP19" s="301"/>
      <c r="BQ19" s="281">
        <f>BP19-'[1]01.09.19'!BG19</f>
        <v>0</v>
      </c>
      <c r="BR19" s="286">
        <f t="shared" si="17"/>
        <v>0</v>
      </c>
      <c r="BS19" s="350"/>
      <c r="BT19" s="349"/>
      <c r="BU19" s="300">
        <v>179.4</v>
      </c>
      <c r="BV19" s="360">
        <v>138.4</v>
      </c>
      <c r="BW19" s="301">
        <v>185.2</v>
      </c>
      <c r="BX19" s="281">
        <f>BW19-'[1]01.09.19'!BM19</f>
        <v>46.79999999999998</v>
      </c>
      <c r="BY19" s="286">
        <f t="shared" si="19"/>
        <v>46.79999999999998</v>
      </c>
      <c r="BZ19" s="350">
        <f>BW19/BV19%</f>
        <v>133.81502890173408</v>
      </c>
      <c r="CA19" s="349">
        <f t="shared" si="31"/>
        <v>103.23299888517279</v>
      </c>
      <c r="CB19" s="300">
        <v>126.1</v>
      </c>
      <c r="CC19" s="360">
        <v>72.4</v>
      </c>
      <c r="CD19" s="301">
        <v>172.4</v>
      </c>
      <c r="CE19" s="281">
        <f>CD19-'[1]01.09.19'!BS19</f>
        <v>59.10000000000001</v>
      </c>
      <c r="CF19" s="286">
        <f t="shared" si="32"/>
        <v>100</v>
      </c>
      <c r="CG19" s="379" t="s">
        <v>27</v>
      </c>
      <c r="CH19" s="349">
        <f t="shared" si="33"/>
        <v>136.71689135606664</v>
      </c>
      <c r="CI19" s="288">
        <f t="shared" si="22"/>
        <v>6446.599999999999</v>
      </c>
      <c r="CJ19" s="303">
        <f t="shared" si="22"/>
        <v>5256.7</v>
      </c>
      <c r="CK19" s="303">
        <f t="shared" si="22"/>
        <v>5373.199999999999</v>
      </c>
      <c r="CL19" s="286">
        <f t="shared" si="34"/>
        <v>116.49999999999909</v>
      </c>
      <c r="CM19" s="286">
        <f t="shared" si="35"/>
        <v>102.2162193010824</v>
      </c>
      <c r="CN19" s="351">
        <f t="shared" si="36"/>
        <v>83.34936245462724</v>
      </c>
      <c r="CO19" s="352"/>
    </row>
    <row r="20" spans="1:93" ht="12.75">
      <c r="A20" s="134" t="s">
        <v>36</v>
      </c>
      <c r="B20" s="135"/>
      <c r="C20" s="300">
        <v>1594.6</v>
      </c>
      <c r="D20" s="361">
        <v>859.5</v>
      </c>
      <c r="E20" s="304">
        <v>859.5</v>
      </c>
      <c r="F20" s="281">
        <f>E20-'[1]01.09.19'!E20</f>
        <v>108.20000000000005</v>
      </c>
      <c r="G20" s="286">
        <f t="shared" si="23"/>
        <v>0</v>
      </c>
      <c r="H20" s="282">
        <f t="shared" si="0"/>
        <v>99.99999999999999</v>
      </c>
      <c r="I20" s="349">
        <f t="shared" si="37"/>
        <v>53.900664743509346</v>
      </c>
      <c r="J20" s="302">
        <v>63.5</v>
      </c>
      <c r="K20" s="361">
        <v>13.1</v>
      </c>
      <c r="L20" s="304">
        <v>63.6</v>
      </c>
      <c r="M20" s="281">
        <f>L20-'[1]01.09.19'!K20</f>
        <v>0</v>
      </c>
      <c r="N20" s="286">
        <f t="shared" si="2"/>
        <v>50.5</v>
      </c>
      <c r="O20" s="350">
        <f>L20/K20%</f>
        <v>485.4961832061069</v>
      </c>
      <c r="P20" s="349">
        <f t="shared" si="24"/>
        <v>100.15748031496064</v>
      </c>
      <c r="Q20" s="300"/>
      <c r="R20" s="361"/>
      <c r="S20" s="304"/>
      <c r="T20" s="281">
        <f>S20-'[1]01.09.19'!Q20</f>
        <v>0</v>
      </c>
      <c r="U20" s="286">
        <f t="shared" si="4"/>
        <v>0</v>
      </c>
      <c r="V20" s="350"/>
      <c r="W20" s="349"/>
      <c r="X20" s="300"/>
      <c r="Y20" s="361"/>
      <c r="Z20" s="304"/>
      <c r="AA20" s="281">
        <f>Z20-'[1]01.09.19'!W20</f>
        <v>0</v>
      </c>
      <c r="AB20" s="286">
        <f t="shared" si="6"/>
        <v>0</v>
      </c>
      <c r="AC20" s="350"/>
      <c r="AD20" s="349"/>
      <c r="AE20" s="300"/>
      <c r="AF20" s="361"/>
      <c r="AG20" s="304"/>
      <c r="AH20" s="280">
        <f>AG20-'[1]01.09.19'!AC20</f>
        <v>0</v>
      </c>
      <c r="AI20" s="286">
        <f t="shared" si="8"/>
        <v>0</v>
      </c>
      <c r="AJ20" s="350"/>
      <c r="AK20" s="349"/>
      <c r="AL20" s="300">
        <v>25</v>
      </c>
      <c r="AM20" s="361">
        <v>19.3</v>
      </c>
      <c r="AN20" s="304">
        <v>24.8</v>
      </c>
      <c r="AO20" s="281">
        <f>AN20-'[1]01.09.19'!AI20</f>
        <v>3.6999999999999993</v>
      </c>
      <c r="AP20" s="286">
        <f t="shared" si="10"/>
        <v>5.5</v>
      </c>
      <c r="AQ20" s="350">
        <f>AN20/AM20%</f>
        <v>128.49740932642487</v>
      </c>
      <c r="AR20" s="349">
        <f t="shared" si="26"/>
        <v>99.2</v>
      </c>
      <c r="AS20" s="300"/>
      <c r="AT20" s="361"/>
      <c r="AU20" s="304"/>
      <c r="AV20" s="281">
        <f>AU20-'[1]01.09.19'!AO20</f>
        <v>0</v>
      </c>
      <c r="AW20" s="286">
        <f t="shared" si="12"/>
        <v>0</v>
      </c>
      <c r="AX20" s="350"/>
      <c r="AY20" s="349"/>
      <c r="AZ20" s="300"/>
      <c r="BA20" s="361"/>
      <c r="BB20" s="304"/>
      <c r="BC20" s="281">
        <f>BB20-'[1]01.09.19'!AU20</f>
        <v>0</v>
      </c>
      <c r="BD20" s="286">
        <f t="shared" si="14"/>
        <v>0</v>
      </c>
      <c r="BE20" s="350"/>
      <c r="BF20" s="347"/>
      <c r="BG20" s="300"/>
      <c r="BH20" s="361"/>
      <c r="BI20" s="304"/>
      <c r="BJ20" s="281">
        <f>BI20-'[1]01.09.19'!BA20</f>
        <v>0</v>
      </c>
      <c r="BK20" s="286">
        <f t="shared" si="16"/>
        <v>0</v>
      </c>
      <c r="BL20" s="350"/>
      <c r="BM20" s="347"/>
      <c r="BN20" s="300">
        <v>60.5</v>
      </c>
      <c r="BO20" s="361">
        <v>38.8</v>
      </c>
      <c r="BP20" s="304">
        <v>37.5</v>
      </c>
      <c r="BQ20" s="281">
        <f>BP20-'[1]01.09.19'!BG20</f>
        <v>3.3999999999999986</v>
      </c>
      <c r="BR20" s="286">
        <f t="shared" si="17"/>
        <v>-1.2999999999999972</v>
      </c>
      <c r="BS20" s="350">
        <f>BP20/BO20%</f>
        <v>96.64948453608248</v>
      </c>
      <c r="BT20" s="349">
        <f t="shared" si="30"/>
        <v>61.98347107438017</v>
      </c>
      <c r="BU20" s="300"/>
      <c r="BV20" s="361"/>
      <c r="BW20" s="304"/>
      <c r="BX20" s="281">
        <f>BW20-'[1]01.09.19'!BM20</f>
        <v>0</v>
      </c>
      <c r="BY20" s="286">
        <f t="shared" si="19"/>
        <v>0</v>
      </c>
      <c r="BZ20" s="350"/>
      <c r="CA20" s="349"/>
      <c r="CB20" s="300">
        <v>348.6</v>
      </c>
      <c r="CC20" s="361">
        <v>327</v>
      </c>
      <c r="CD20" s="304">
        <v>353.5</v>
      </c>
      <c r="CE20" s="281">
        <f>CD20-'[1]01.09.19'!BS20</f>
        <v>10.5</v>
      </c>
      <c r="CF20" s="286">
        <f t="shared" si="32"/>
        <v>26.5</v>
      </c>
      <c r="CG20" s="350">
        <f>CD20/CC20%</f>
        <v>108.10397553516819</v>
      </c>
      <c r="CH20" s="349">
        <f t="shared" si="33"/>
        <v>101.40562248995984</v>
      </c>
      <c r="CI20" s="288">
        <f t="shared" si="22"/>
        <v>2092.2</v>
      </c>
      <c r="CJ20" s="303">
        <f t="shared" si="22"/>
        <v>1257.6999999999998</v>
      </c>
      <c r="CK20" s="221">
        <f t="shared" si="22"/>
        <v>1338.9</v>
      </c>
      <c r="CL20" s="286">
        <f t="shared" si="34"/>
        <v>81.20000000000027</v>
      </c>
      <c r="CM20" s="286">
        <f t="shared" si="35"/>
        <v>106.45622962550691</v>
      </c>
      <c r="CN20" s="351">
        <f t="shared" si="36"/>
        <v>63.99483796960139</v>
      </c>
      <c r="CO20" s="352"/>
    </row>
    <row r="21" spans="1:93" ht="12.75">
      <c r="A21" s="134" t="s">
        <v>71</v>
      </c>
      <c r="B21" s="135"/>
      <c r="C21" s="300">
        <v>50</v>
      </c>
      <c r="D21" s="361">
        <v>50</v>
      </c>
      <c r="E21" s="304">
        <v>86.4</v>
      </c>
      <c r="F21" s="281">
        <f>E21-'[1]01.09.19'!E21</f>
        <v>0</v>
      </c>
      <c r="G21" s="286">
        <f t="shared" si="23"/>
        <v>36.400000000000006</v>
      </c>
      <c r="H21" s="282"/>
      <c r="I21" s="349">
        <f t="shared" si="37"/>
        <v>172.8</v>
      </c>
      <c r="J21" s="302"/>
      <c r="K21" s="361"/>
      <c r="L21" s="304"/>
      <c r="M21" s="281">
        <f>L21-'[1]01.09.19'!K21</f>
        <v>0</v>
      </c>
      <c r="N21" s="286">
        <f t="shared" si="2"/>
        <v>0</v>
      </c>
      <c r="O21" s="350"/>
      <c r="P21" s="349"/>
      <c r="Q21" s="300"/>
      <c r="R21" s="361"/>
      <c r="S21" s="304"/>
      <c r="T21" s="281">
        <f>S21-'[1]01.09.19'!Q21</f>
        <v>0</v>
      </c>
      <c r="U21" s="286">
        <f t="shared" si="4"/>
        <v>0</v>
      </c>
      <c r="V21" s="350"/>
      <c r="W21" s="349"/>
      <c r="X21" s="300"/>
      <c r="Y21" s="361"/>
      <c r="Z21" s="304"/>
      <c r="AA21" s="281">
        <f>Z21-'[1]01.09.19'!W21</f>
        <v>0</v>
      </c>
      <c r="AB21" s="286">
        <f t="shared" si="6"/>
        <v>0</v>
      </c>
      <c r="AC21" s="350"/>
      <c r="AD21" s="349"/>
      <c r="AE21" s="300"/>
      <c r="AF21" s="361"/>
      <c r="AG21" s="304"/>
      <c r="AH21" s="280">
        <f>AG21-'[1]01.09.19'!AC21</f>
        <v>0</v>
      </c>
      <c r="AI21" s="286">
        <f t="shared" si="8"/>
        <v>0</v>
      </c>
      <c r="AJ21" s="350"/>
      <c r="AK21" s="349"/>
      <c r="AL21" s="300"/>
      <c r="AM21" s="361"/>
      <c r="AN21" s="304"/>
      <c r="AO21" s="281">
        <f>AN21-'[1]01.09.19'!AI21</f>
        <v>0</v>
      </c>
      <c r="AP21" s="286">
        <f t="shared" si="10"/>
        <v>0</v>
      </c>
      <c r="AQ21" s="350"/>
      <c r="AR21" s="349"/>
      <c r="AS21" s="300"/>
      <c r="AT21" s="361"/>
      <c r="AU21" s="304"/>
      <c r="AV21" s="281">
        <f>AU21-'[1]01.09.19'!AO21</f>
        <v>0</v>
      </c>
      <c r="AW21" s="286">
        <f t="shared" si="12"/>
        <v>0</v>
      </c>
      <c r="AX21" s="350"/>
      <c r="AY21" s="349"/>
      <c r="AZ21" s="300"/>
      <c r="BA21" s="361"/>
      <c r="BB21" s="304"/>
      <c r="BC21" s="281">
        <f>BB21-'[1]01.09.19'!AU21</f>
        <v>0</v>
      </c>
      <c r="BD21" s="286">
        <f t="shared" si="14"/>
        <v>0</v>
      </c>
      <c r="BE21" s="350"/>
      <c r="BF21" s="347"/>
      <c r="BG21" s="300"/>
      <c r="BH21" s="361"/>
      <c r="BI21" s="304"/>
      <c r="BJ21" s="281">
        <f>BI21-'[1]01.09.19'!BA21</f>
        <v>0</v>
      </c>
      <c r="BK21" s="286">
        <f t="shared" si="16"/>
        <v>0</v>
      </c>
      <c r="BL21" s="350"/>
      <c r="BM21" s="347"/>
      <c r="BN21" s="300"/>
      <c r="BO21" s="361"/>
      <c r="BP21" s="304"/>
      <c r="BQ21" s="281">
        <f>BP21-'[1]01.09.19'!BG21</f>
        <v>0</v>
      </c>
      <c r="BR21" s="286">
        <f t="shared" si="17"/>
        <v>0</v>
      </c>
      <c r="BS21" s="350"/>
      <c r="BT21" s="349"/>
      <c r="BU21" s="300"/>
      <c r="BV21" s="361"/>
      <c r="BW21" s="304"/>
      <c r="BX21" s="281">
        <f>BW21-'[1]01.09.19'!BM21</f>
        <v>0</v>
      </c>
      <c r="BY21" s="286">
        <f t="shared" si="19"/>
        <v>0</v>
      </c>
      <c r="BZ21" s="350"/>
      <c r="CA21" s="349"/>
      <c r="CB21" s="300"/>
      <c r="CC21" s="361"/>
      <c r="CD21" s="304"/>
      <c r="CE21" s="281">
        <f>CD21-'[1]01.09.19'!BS21</f>
        <v>0</v>
      </c>
      <c r="CF21" s="286">
        <f t="shared" si="32"/>
        <v>0</v>
      </c>
      <c r="CG21" s="350"/>
      <c r="CH21" s="349"/>
      <c r="CI21" s="288">
        <f t="shared" si="22"/>
        <v>50</v>
      </c>
      <c r="CJ21" s="303">
        <f t="shared" si="22"/>
        <v>50</v>
      </c>
      <c r="CK21" s="221">
        <f t="shared" si="22"/>
        <v>86.4</v>
      </c>
      <c r="CL21" s="286">
        <f t="shared" si="34"/>
        <v>36.400000000000006</v>
      </c>
      <c r="CM21" s="286"/>
      <c r="CN21" s="351">
        <f t="shared" si="36"/>
        <v>172.8</v>
      </c>
      <c r="CO21" s="352"/>
    </row>
    <row r="22" spans="1:93" ht="12.75">
      <c r="A22" s="136" t="s">
        <v>72</v>
      </c>
      <c r="B22" s="135"/>
      <c r="C22" s="300">
        <v>840</v>
      </c>
      <c r="D22" s="361">
        <v>650.4</v>
      </c>
      <c r="E22" s="304">
        <v>650.4</v>
      </c>
      <c r="F22" s="281">
        <f>E22-'[1]01.09.19'!E22</f>
        <v>84.69999999999993</v>
      </c>
      <c r="G22" s="286">
        <f t="shared" si="23"/>
        <v>0</v>
      </c>
      <c r="H22" s="282">
        <f t="shared" si="0"/>
        <v>100</v>
      </c>
      <c r="I22" s="349">
        <f t="shared" si="37"/>
        <v>77.42857142857142</v>
      </c>
      <c r="J22" s="302">
        <v>9.3</v>
      </c>
      <c r="K22" s="361">
        <v>2.3</v>
      </c>
      <c r="L22" s="304">
        <v>0.8</v>
      </c>
      <c r="M22" s="281">
        <f>L22-'[1]01.09.19'!K22</f>
        <v>0</v>
      </c>
      <c r="N22" s="286">
        <f>L22-K22</f>
        <v>-1.4999999999999998</v>
      </c>
      <c r="O22" s="350">
        <f>L22/K22%</f>
        <v>34.78260869565218</v>
      </c>
      <c r="P22" s="349">
        <f t="shared" si="24"/>
        <v>8.602150537634408</v>
      </c>
      <c r="Q22" s="300">
        <v>130</v>
      </c>
      <c r="R22" s="361">
        <v>124.4</v>
      </c>
      <c r="S22" s="304">
        <v>124.4</v>
      </c>
      <c r="T22" s="281">
        <f>S22-'[1]01.09.19'!Q22</f>
        <v>13.300000000000011</v>
      </c>
      <c r="U22" s="286">
        <f t="shared" si="4"/>
        <v>0</v>
      </c>
      <c r="V22" s="350">
        <f>S22/R22%</f>
        <v>100</v>
      </c>
      <c r="W22" s="349">
        <f>S22/Q22%</f>
        <v>95.6923076923077</v>
      </c>
      <c r="X22" s="300">
        <v>17.4</v>
      </c>
      <c r="Y22" s="361">
        <v>7.6</v>
      </c>
      <c r="Z22" s="304">
        <v>5.2</v>
      </c>
      <c r="AA22" s="281">
        <f>Z22-'[1]01.09.19'!W22</f>
        <v>0</v>
      </c>
      <c r="AB22" s="286">
        <f t="shared" si="6"/>
        <v>-2.3999999999999995</v>
      </c>
      <c r="AC22" s="350">
        <f>Z22/Y22%</f>
        <v>68.42105263157895</v>
      </c>
      <c r="AD22" s="349">
        <f>Z22/X22%</f>
        <v>29.88505747126437</v>
      </c>
      <c r="AE22" s="300"/>
      <c r="AF22" s="361"/>
      <c r="AG22" s="304"/>
      <c r="AH22" s="280">
        <f>AG22-'[1]01.09.19'!AC22</f>
        <v>0</v>
      </c>
      <c r="AI22" s="286">
        <f t="shared" si="8"/>
        <v>0</v>
      </c>
      <c r="AJ22" s="350"/>
      <c r="AK22" s="349"/>
      <c r="AL22" s="300">
        <v>225</v>
      </c>
      <c r="AM22" s="361">
        <v>155.8</v>
      </c>
      <c r="AN22" s="304">
        <v>109.6</v>
      </c>
      <c r="AO22" s="281">
        <f>AN22-'[1]01.09.19'!AI22</f>
        <v>17.599999999999994</v>
      </c>
      <c r="AP22" s="286">
        <f t="shared" si="10"/>
        <v>-46.20000000000002</v>
      </c>
      <c r="AQ22" s="350">
        <f>AN22/AM22%</f>
        <v>70.34659820282413</v>
      </c>
      <c r="AR22" s="349">
        <f t="shared" si="26"/>
        <v>48.71111111111111</v>
      </c>
      <c r="AS22" s="300"/>
      <c r="AT22" s="361"/>
      <c r="AU22" s="304"/>
      <c r="AV22" s="281">
        <f>AU22-'[1]01.09.19'!AO22</f>
        <v>-8.3</v>
      </c>
      <c r="AW22" s="286">
        <f t="shared" si="12"/>
        <v>0</v>
      </c>
      <c r="AX22" s="350"/>
      <c r="AY22" s="349"/>
      <c r="AZ22" s="300"/>
      <c r="BA22" s="361"/>
      <c r="BB22" s="304"/>
      <c r="BC22" s="281">
        <f>BB22-'[1]01.09.19'!AU22</f>
        <v>0</v>
      </c>
      <c r="BD22" s="286">
        <f t="shared" si="14"/>
        <v>0</v>
      </c>
      <c r="BE22" s="350"/>
      <c r="BF22" s="347"/>
      <c r="BG22" s="300">
        <v>12.2</v>
      </c>
      <c r="BH22" s="361">
        <v>5.6</v>
      </c>
      <c r="BI22" s="304">
        <v>5.7</v>
      </c>
      <c r="BJ22" s="281">
        <f>BI22-'[1]01.09.19'!BA22</f>
        <v>1.4000000000000004</v>
      </c>
      <c r="BK22" s="286">
        <f t="shared" si="16"/>
        <v>0.10000000000000053</v>
      </c>
      <c r="BL22" s="350">
        <f>BI22/BH22%</f>
        <v>101.7857142857143</v>
      </c>
      <c r="BM22" s="349">
        <f t="shared" si="29"/>
        <v>46.72131147540984</v>
      </c>
      <c r="BN22" s="300"/>
      <c r="BO22" s="361"/>
      <c r="BP22" s="304"/>
      <c r="BQ22" s="281">
        <f>BP22-'[1]01.09.19'!BG22</f>
        <v>0</v>
      </c>
      <c r="BR22" s="286">
        <f t="shared" si="17"/>
        <v>0</v>
      </c>
      <c r="BS22" s="350"/>
      <c r="BT22" s="349"/>
      <c r="BU22" s="300">
        <v>160.5</v>
      </c>
      <c r="BV22" s="361">
        <v>95.5</v>
      </c>
      <c r="BW22" s="304">
        <v>82.7</v>
      </c>
      <c r="BX22" s="281">
        <f>BW22-'[1]01.09.19'!BM22</f>
        <v>13.5</v>
      </c>
      <c r="BY22" s="286">
        <f t="shared" si="19"/>
        <v>-12.799999999999997</v>
      </c>
      <c r="BZ22" s="350">
        <f>BW22/BV22%</f>
        <v>86.59685863874346</v>
      </c>
      <c r="CA22" s="349">
        <f>BW22/BU22%</f>
        <v>51.52647975077882</v>
      </c>
      <c r="CB22" s="300">
        <v>554</v>
      </c>
      <c r="CC22" s="361">
        <v>218.7</v>
      </c>
      <c r="CD22" s="304">
        <v>218.7</v>
      </c>
      <c r="CE22" s="281">
        <f>CD22-'[1]01.09.19'!BS22</f>
        <v>36.099999999999994</v>
      </c>
      <c r="CF22" s="286">
        <f t="shared" si="32"/>
        <v>0</v>
      </c>
      <c r="CG22" s="350">
        <f>CD22/CC22%</f>
        <v>100</v>
      </c>
      <c r="CH22" s="349">
        <f>CD22/CB22%</f>
        <v>39.47653429602888</v>
      </c>
      <c r="CI22" s="288">
        <f t="shared" si="22"/>
        <v>1948.3999999999999</v>
      </c>
      <c r="CJ22" s="303">
        <f t="shared" si="22"/>
        <v>1260.3</v>
      </c>
      <c r="CK22" s="221">
        <f t="shared" si="22"/>
        <v>1197.5</v>
      </c>
      <c r="CL22" s="286">
        <f t="shared" si="34"/>
        <v>-62.799999999999955</v>
      </c>
      <c r="CM22" s="286">
        <f t="shared" si="35"/>
        <v>95.01705943029438</v>
      </c>
      <c r="CN22" s="351">
        <f t="shared" si="36"/>
        <v>61.46068569082325</v>
      </c>
      <c r="CO22" s="352"/>
    </row>
    <row r="23" spans="1:93" ht="12.75">
      <c r="A23" s="136" t="s">
        <v>73</v>
      </c>
      <c r="B23" s="135"/>
      <c r="C23" s="300">
        <v>261.9</v>
      </c>
      <c r="D23" s="361">
        <v>261.9</v>
      </c>
      <c r="E23" s="304">
        <v>261.9</v>
      </c>
      <c r="F23" s="281">
        <f>E23-'[1]01.09.19'!E23</f>
        <v>0</v>
      </c>
      <c r="G23" s="286">
        <f t="shared" si="23"/>
        <v>0</v>
      </c>
      <c r="H23" s="282">
        <f t="shared" si="0"/>
        <v>100</v>
      </c>
      <c r="I23" s="349">
        <f t="shared" si="37"/>
        <v>100</v>
      </c>
      <c r="J23" s="302">
        <v>2.8</v>
      </c>
      <c r="K23" s="361"/>
      <c r="L23" s="304">
        <v>2.8</v>
      </c>
      <c r="M23" s="281">
        <f>L23-'[1]01.09.19'!K23</f>
        <v>0</v>
      </c>
      <c r="N23" s="286"/>
      <c r="O23" s="350"/>
      <c r="P23" s="349">
        <f t="shared" si="24"/>
        <v>100</v>
      </c>
      <c r="Q23" s="300"/>
      <c r="R23" s="361"/>
      <c r="S23" s="304">
        <v>12.1</v>
      </c>
      <c r="T23" s="281">
        <f>S23-'[1]01.09.19'!Q23</f>
        <v>0</v>
      </c>
      <c r="U23" s="286">
        <f t="shared" si="4"/>
        <v>12.1</v>
      </c>
      <c r="V23" s="350"/>
      <c r="W23" s="349"/>
      <c r="X23" s="300">
        <v>14.3</v>
      </c>
      <c r="Y23" s="361">
        <v>14.3</v>
      </c>
      <c r="Z23" s="304">
        <v>14.1</v>
      </c>
      <c r="AA23" s="281">
        <f>Z23-'[1]01.09.19'!W23</f>
        <v>0</v>
      </c>
      <c r="AB23" s="286">
        <f t="shared" si="6"/>
        <v>-0.20000000000000107</v>
      </c>
      <c r="AC23" s="350">
        <f>Z23/Y23%</f>
        <v>98.60139860139859</v>
      </c>
      <c r="AD23" s="349">
        <f>Z23/X23%</f>
        <v>98.60139860139859</v>
      </c>
      <c r="AE23" s="300">
        <v>10.9</v>
      </c>
      <c r="AF23" s="361">
        <v>10.9</v>
      </c>
      <c r="AG23" s="304">
        <v>19.9</v>
      </c>
      <c r="AH23" s="280">
        <f>AG23-'[1]01.09.19'!AC23</f>
        <v>0</v>
      </c>
      <c r="AI23" s="286">
        <f t="shared" si="8"/>
        <v>8.999999999999998</v>
      </c>
      <c r="AJ23" s="379" t="s">
        <v>27</v>
      </c>
      <c r="AK23" s="349"/>
      <c r="AL23" s="300">
        <v>10</v>
      </c>
      <c r="AM23" s="361">
        <v>7.3</v>
      </c>
      <c r="AN23" s="304">
        <v>9.2</v>
      </c>
      <c r="AO23" s="281">
        <f>AN23-'[1]01.09.19'!AI23</f>
        <v>-0.10000000000000142</v>
      </c>
      <c r="AP23" s="286">
        <f t="shared" si="10"/>
        <v>1.8999999999999995</v>
      </c>
      <c r="AQ23" s="379" t="s">
        <v>27</v>
      </c>
      <c r="AR23" s="349"/>
      <c r="AS23" s="300">
        <v>8.3</v>
      </c>
      <c r="AT23" s="361">
        <v>8.3</v>
      </c>
      <c r="AU23" s="304">
        <v>8.3</v>
      </c>
      <c r="AV23" s="281">
        <f>AU23-'[1]01.09.19'!AO23</f>
        <v>8.3</v>
      </c>
      <c r="AW23" s="286"/>
      <c r="AX23" s="350"/>
      <c r="AY23" s="349"/>
      <c r="AZ23" s="300">
        <v>19.9</v>
      </c>
      <c r="BA23" s="361">
        <v>14.9</v>
      </c>
      <c r="BB23" s="304">
        <v>4.5</v>
      </c>
      <c r="BC23" s="281">
        <f>BB23-'[1]01.09.19'!AU23</f>
        <v>1.4</v>
      </c>
      <c r="BD23" s="286"/>
      <c r="BE23" s="350"/>
      <c r="BF23" s="347"/>
      <c r="BG23" s="300"/>
      <c r="BH23" s="361"/>
      <c r="BI23" s="304">
        <v>11.5</v>
      </c>
      <c r="BJ23" s="281">
        <f>BI23-'[1]01.09.19'!BA23</f>
        <v>0</v>
      </c>
      <c r="BK23" s="286"/>
      <c r="BL23" s="350"/>
      <c r="BM23" s="347"/>
      <c r="BN23" s="300">
        <v>10</v>
      </c>
      <c r="BO23" s="361"/>
      <c r="BP23" s="304">
        <v>10</v>
      </c>
      <c r="BQ23" s="281">
        <f>BP23-'[1]01.09.19'!BG23</f>
        <v>0</v>
      </c>
      <c r="BR23" s="286"/>
      <c r="BS23" s="350"/>
      <c r="BT23" s="349"/>
      <c r="BU23" s="300">
        <v>8.5</v>
      </c>
      <c r="BV23" s="361">
        <v>5.9</v>
      </c>
      <c r="BW23" s="304">
        <v>5.9</v>
      </c>
      <c r="BX23" s="281">
        <f>BW23-'[1]01.09.19'!BM23</f>
        <v>0</v>
      </c>
      <c r="BY23" s="286">
        <f t="shared" si="19"/>
        <v>0</v>
      </c>
      <c r="BZ23" s="350">
        <f>BW23/BV23%</f>
        <v>100</v>
      </c>
      <c r="CA23" s="349">
        <f>BW23/BU23%</f>
        <v>69.41176470588235</v>
      </c>
      <c r="CB23" s="300">
        <v>21</v>
      </c>
      <c r="CC23" s="361">
        <v>15.1</v>
      </c>
      <c r="CD23" s="304">
        <v>15</v>
      </c>
      <c r="CE23" s="281">
        <f>CD23-'[1]01.09.19'!BS23</f>
        <v>0</v>
      </c>
      <c r="CF23" s="286">
        <f t="shared" si="32"/>
        <v>-0.09999999999999964</v>
      </c>
      <c r="CG23" s="350">
        <f>CD23/CC23%</f>
        <v>99.33774834437087</v>
      </c>
      <c r="CH23" s="349">
        <f>CD23/CB23%</f>
        <v>71.42857142857143</v>
      </c>
      <c r="CI23" s="288">
        <f t="shared" si="22"/>
        <v>367.59999999999997</v>
      </c>
      <c r="CJ23" s="303">
        <f t="shared" si="22"/>
        <v>338.59999999999997</v>
      </c>
      <c r="CK23" s="221">
        <f t="shared" si="22"/>
        <v>375.2</v>
      </c>
      <c r="CL23" s="286">
        <f t="shared" si="34"/>
        <v>36.60000000000002</v>
      </c>
      <c r="CM23" s="286">
        <f t="shared" si="35"/>
        <v>110.8092144122859</v>
      </c>
      <c r="CN23" s="351">
        <f t="shared" si="36"/>
        <v>102.06746463547334</v>
      </c>
      <c r="CO23" s="352"/>
    </row>
    <row r="24" spans="1:93" ht="12.75">
      <c r="A24" s="134" t="s">
        <v>74</v>
      </c>
      <c r="B24" s="135"/>
      <c r="C24" s="300">
        <v>559.9</v>
      </c>
      <c r="D24" s="361">
        <v>559.9</v>
      </c>
      <c r="E24" s="304">
        <v>583.9</v>
      </c>
      <c r="F24" s="281">
        <f>E24-'[1]01.09.19'!E24</f>
        <v>0</v>
      </c>
      <c r="G24" s="286">
        <f t="shared" si="23"/>
        <v>24</v>
      </c>
      <c r="H24" s="282">
        <f t="shared" si="0"/>
        <v>104.28647972852295</v>
      </c>
      <c r="I24" s="349">
        <f t="shared" si="37"/>
        <v>104.28647972852295</v>
      </c>
      <c r="J24" s="302"/>
      <c r="K24" s="361"/>
      <c r="L24" s="304"/>
      <c r="M24" s="281">
        <f>L24-'[1]01.09.19'!K24</f>
        <v>0</v>
      </c>
      <c r="N24" s="286">
        <f t="shared" si="2"/>
        <v>0</v>
      </c>
      <c r="O24" s="350"/>
      <c r="P24" s="349"/>
      <c r="Q24" s="300"/>
      <c r="R24" s="361"/>
      <c r="S24" s="304">
        <v>40</v>
      </c>
      <c r="T24" s="281">
        <f>S24-'[1]01.09.19'!Q24</f>
        <v>0</v>
      </c>
      <c r="U24" s="286">
        <f t="shared" si="4"/>
        <v>40</v>
      </c>
      <c r="V24" s="350"/>
      <c r="W24" s="349"/>
      <c r="X24" s="300"/>
      <c r="Y24" s="361"/>
      <c r="Z24" s="304"/>
      <c r="AA24" s="281">
        <f>Z24-'[1]01.09.19'!W24</f>
        <v>0</v>
      </c>
      <c r="AB24" s="286">
        <f t="shared" si="6"/>
        <v>0</v>
      </c>
      <c r="AC24" s="350"/>
      <c r="AD24" s="349"/>
      <c r="AE24" s="300"/>
      <c r="AF24" s="361"/>
      <c r="AG24" s="304"/>
      <c r="AH24" s="280">
        <f>AG24-'[1]01.09.19'!AC24</f>
        <v>0</v>
      </c>
      <c r="AI24" s="286">
        <f t="shared" si="8"/>
        <v>0</v>
      </c>
      <c r="AJ24" s="350"/>
      <c r="AK24" s="349"/>
      <c r="AL24" s="300"/>
      <c r="AM24" s="361"/>
      <c r="AN24" s="304"/>
      <c r="AO24" s="281">
        <f>AN24-'[1]01.09.19'!AI24</f>
        <v>0</v>
      </c>
      <c r="AP24" s="286">
        <f t="shared" si="10"/>
        <v>0</v>
      </c>
      <c r="AQ24" s="350"/>
      <c r="AR24" s="349"/>
      <c r="AS24" s="300"/>
      <c r="AT24" s="361"/>
      <c r="AU24" s="304"/>
      <c r="AV24" s="281">
        <f>AU24-'[1]01.09.19'!AO24</f>
        <v>0</v>
      </c>
      <c r="AW24" s="286">
        <f t="shared" si="12"/>
        <v>0</v>
      </c>
      <c r="AX24" s="350"/>
      <c r="AY24" s="349"/>
      <c r="AZ24" s="300"/>
      <c r="BA24" s="361"/>
      <c r="BB24" s="304"/>
      <c r="BC24" s="281">
        <f>BB24-'[1]01.09.19'!AU24</f>
        <v>0</v>
      </c>
      <c r="BD24" s="286">
        <f t="shared" si="14"/>
        <v>0</v>
      </c>
      <c r="BE24" s="350"/>
      <c r="BF24" s="347"/>
      <c r="BG24" s="300"/>
      <c r="BH24" s="361"/>
      <c r="BI24" s="304"/>
      <c r="BJ24" s="281">
        <f>BI24-'[1]01.09.19'!BA24</f>
        <v>0</v>
      </c>
      <c r="BK24" s="286">
        <f t="shared" si="16"/>
        <v>0</v>
      </c>
      <c r="BL24" s="350"/>
      <c r="BM24" s="347"/>
      <c r="BN24" s="300"/>
      <c r="BO24" s="361"/>
      <c r="BP24" s="304"/>
      <c r="BQ24" s="281">
        <f>BP24-'[1]01.09.19'!BG24</f>
        <v>0</v>
      </c>
      <c r="BR24" s="286">
        <f t="shared" si="17"/>
        <v>0</v>
      </c>
      <c r="BS24" s="350"/>
      <c r="BT24" s="349"/>
      <c r="BU24" s="300"/>
      <c r="BV24" s="361"/>
      <c r="BW24" s="304"/>
      <c r="BX24" s="281">
        <f>BW24-'[1]01.09.19'!BM24</f>
        <v>0</v>
      </c>
      <c r="BY24" s="286">
        <f t="shared" si="19"/>
        <v>0</v>
      </c>
      <c r="BZ24" s="350"/>
      <c r="CA24" s="349"/>
      <c r="CB24" s="300">
        <v>149</v>
      </c>
      <c r="CC24" s="361">
        <v>149</v>
      </c>
      <c r="CD24" s="304">
        <v>149</v>
      </c>
      <c r="CE24" s="281">
        <f>CD24-'[1]01.09.19'!BS24</f>
        <v>0</v>
      </c>
      <c r="CF24" s="286">
        <f t="shared" si="32"/>
        <v>0</v>
      </c>
      <c r="CG24" s="350"/>
      <c r="CH24" s="349">
        <f>CD24/CB24%</f>
        <v>100</v>
      </c>
      <c r="CI24" s="288">
        <f t="shared" si="22"/>
        <v>708.9</v>
      </c>
      <c r="CJ24" s="303">
        <f t="shared" si="22"/>
        <v>708.9</v>
      </c>
      <c r="CK24" s="221">
        <f t="shared" si="22"/>
        <v>772.9</v>
      </c>
      <c r="CL24" s="286">
        <f t="shared" si="34"/>
        <v>64</v>
      </c>
      <c r="CM24" s="286">
        <f t="shared" si="35"/>
        <v>109.0280716603188</v>
      </c>
      <c r="CN24" s="351">
        <f t="shared" si="36"/>
        <v>109.0280716603188</v>
      </c>
      <c r="CO24" s="352"/>
    </row>
    <row r="25" spans="1:93" ht="12.75">
      <c r="A25" s="137" t="s">
        <v>75</v>
      </c>
      <c r="B25" s="138"/>
      <c r="C25" s="305">
        <v>1626.3</v>
      </c>
      <c r="D25" s="362">
        <v>1626.3</v>
      </c>
      <c r="E25" s="306">
        <v>2097.2</v>
      </c>
      <c r="F25" s="281">
        <f>E25-'[1]01.09.19'!E25</f>
        <v>369.39999999999986</v>
      </c>
      <c r="G25" s="286">
        <f t="shared" si="23"/>
        <v>470.89999999999986</v>
      </c>
      <c r="H25" s="282">
        <f t="shared" si="0"/>
        <v>128.95529730062106</v>
      </c>
      <c r="I25" s="349">
        <f t="shared" si="37"/>
        <v>128.95529730062106</v>
      </c>
      <c r="J25" s="307"/>
      <c r="K25" s="362"/>
      <c r="L25" s="306"/>
      <c r="M25" s="281">
        <f>L25-'[1]01.09.19'!K25</f>
        <v>0</v>
      </c>
      <c r="N25" s="286">
        <f t="shared" si="2"/>
        <v>0</v>
      </c>
      <c r="O25" s="350"/>
      <c r="P25" s="349"/>
      <c r="Q25" s="305"/>
      <c r="R25" s="362"/>
      <c r="S25" s="306"/>
      <c r="T25" s="281">
        <f>S25-'[1]01.09.19'!Q25</f>
        <v>0</v>
      </c>
      <c r="U25" s="286">
        <f t="shared" si="4"/>
        <v>0</v>
      </c>
      <c r="V25" s="350"/>
      <c r="W25" s="349"/>
      <c r="X25" s="305"/>
      <c r="Y25" s="362"/>
      <c r="Z25" s="306"/>
      <c r="AA25" s="281">
        <f>Z25-'[1]01.09.19'!W25</f>
        <v>0</v>
      </c>
      <c r="AB25" s="286">
        <f t="shared" si="6"/>
        <v>0</v>
      </c>
      <c r="AC25" s="350"/>
      <c r="AD25" s="349"/>
      <c r="AE25" s="305"/>
      <c r="AF25" s="362"/>
      <c r="AG25" s="306"/>
      <c r="AH25" s="280">
        <f>AG25-'[1]01.09.19'!AC25</f>
        <v>0</v>
      </c>
      <c r="AI25" s="286">
        <f t="shared" si="8"/>
        <v>0</v>
      </c>
      <c r="AJ25" s="350"/>
      <c r="AK25" s="349"/>
      <c r="AL25" s="305"/>
      <c r="AM25" s="362"/>
      <c r="AN25" s="306"/>
      <c r="AO25" s="281">
        <f>AN25-'[1]01.09.19'!AI25</f>
        <v>0</v>
      </c>
      <c r="AP25" s="286">
        <f t="shared" si="10"/>
        <v>0</v>
      </c>
      <c r="AQ25" s="350"/>
      <c r="AR25" s="349"/>
      <c r="AS25" s="305"/>
      <c r="AT25" s="362"/>
      <c r="AU25" s="306"/>
      <c r="AV25" s="281">
        <f>AU25-'[1]01.09.19'!AO25</f>
        <v>0</v>
      </c>
      <c r="AW25" s="286">
        <f t="shared" si="12"/>
        <v>0</v>
      </c>
      <c r="AX25" s="350"/>
      <c r="AY25" s="349"/>
      <c r="AZ25" s="305">
        <v>606</v>
      </c>
      <c r="BA25" s="362">
        <v>606</v>
      </c>
      <c r="BB25" s="306">
        <v>606</v>
      </c>
      <c r="BC25" s="281">
        <f>BB25-'[1]01.09.19'!AU25</f>
        <v>0</v>
      </c>
      <c r="BD25" s="286">
        <f t="shared" si="14"/>
        <v>0</v>
      </c>
      <c r="BE25" s="350"/>
      <c r="BF25" s="347"/>
      <c r="BG25" s="305"/>
      <c r="BH25" s="362"/>
      <c r="BI25" s="306"/>
      <c r="BJ25" s="281">
        <f>BI25-'[1]01.09.19'!BA25</f>
        <v>0</v>
      </c>
      <c r="BK25" s="286">
        <f t="shared" si="16"/>
        <v>0</v>
      </c>
      <c r="BL25" s="350"/>
      <c r="BM25" s="347"/>
      <c r="BN25" s="305"/>
      <c r="BO25" s="362" t="s">
        <v>106</v>
      </c>
      <c r="BP25" s="306"/>
      <c r="BQ25" s="281">
        <f>BP25-'[1]01.09.19'!BG25</f>
        <v>0</v>
      </c>
      <c r="BR25" s="286"/>
      <c r="BS25" s="350"/>
      <c r="BT25" s="349"/>
      <c r="BU25" s="305"/>
      <c r="BV25" s="362"/>
      <c r="BW25" s="306"/>
      <c r="BX25" s="281">
        <f>BW25-'[1]01.09.19'!BM25</f>
        <v>0</v>
      </c>
      <c r="BY25" s="286">
        <f t="shared" si="19"/>
        <v>0</v>
      </c>
      <c r="BZ25" s="350"/>
      <c r="CA25" s="349"/>
      <c r="CB25" s="305">
        <v>231.4</v>
      </c>
      <c r="CC25" s="362">
        <v>231.4</v>
      </c>
      <c r="CD25" s="306">
        <v>231.4</v>
      </c>
      <c r="CE25" s="281">
        <f>CD25-'[1]01.09.19'!BS25</f>
        <v>0</v>
      </c>
      <c r="CF25" s="286">
        <f t="shared" si="32"/>
        <v>0</v>
      </c>
      <c r="CG25" s="350">
        <f>CD25/CC25%</f>
        <v>100</v>
      </c>
      <c r="CH25" s="349">
        <f>CD25/CB25%</f>
        <v>100</v>
      </c>
      <c r="CI25" s="288">
        <f aca="true" t="shared" si="38" ref="CI25:CK34">C25+J25+Q25+X25+AE25+AL25+AS25+AZ25+BG25+BN25+BU25+CB25</f>
        <v>2463.7000000000003</v>
      </c>
      <c r="CJ25" s="303">
        <f>D25</f>
        <v>1626.3</v>
      </c>
      <c r="CK25" s="383">
        <f>E25+L25+S25+Z25+AG25+AN25+AU25+BB25+BI25+BP25+BW25+CD25</f>
        <v>2934.6</v>
      </c>
      <c r="CL25" s="383">
        <f>G25+N25+U25+AB25+AI25+AP25+AW25+BD25+BK25+BR25+BY25+CF25</f>
        <v>470.89999999999986</v>
      </c>
      <c r="CM25" s="286">
        <f t="shared" si="35"/>
        <v>180.44641210108838</v>
      </c>
      <c r="CN25" s="351">
        <f t="shared" si="36"/>
        <v>119.11352843284489</v>
      </c>
      <c r="CO25" s="352"/>
    </row>
    <row r="26" spans="1:93" ht="12.75">
      <c r="A26" s="136" t="s">
        <v>76</v>
      </c>
      <c r="B26" s="139"/>
      <c r="C26" s="284"/>
      <c r="D26" s="119"/>
      <c r="E26" s="285"/>
      <c r="F26" s="281">
        <f>E26-'[1]01.09.19'!E26</f>
        <v>0</v>
      </c>
      <c r="G26" s="286">
        <f t="shared" si="23"/>
        <v>0</v>
      </c>
      <c r="H26" s="282"/>
      <c r="I26" s="349"/>
      <c r="J26" s="287"/>
      <c r="K26" s="119"/>
      <c r="L26" s="285"/>
      <c r="M26" s="281">
        <f>L26-'[1]01.09.19'!K26</f>
        <v>0</v>
      </c>
      <c r="N26" s="286">
        <f t="shared" si="2"/>
        <v>0</v>
      </c>
      <c r="O26" s="350"/>
      <c r="P26" s="349"/>
      <c r="Q26" s="284"/>
      <c r="R26" s="119"/>
      <c r="S26" s="285"/>
      <c r="T26" s="281">
        <f>S26-'[1]01.09.19'!Q26</f>
        <v>0</v>
      </c>
      <c r="U26" s="286">
        <f t="shared" si="4"/>
        <v>0</v>
      </c>
      <c r="V26" s="350"/>
      <c r="W26" s="349"/>
      <c r="X26" s="284"/>
      <c r="Y26" s="119"/>
      <c r="Z26" s="285"/>
      <c r="AA26" s="281">
        <f>Z26-'[1]01.09.19'!W26</f>
        <v>-3.2</v>
      </c>
      <c r="AB26" s="286">
        <f t="shared" si="6"/>
        <v>0</v>
      </c>
      <c r="AC26" s="350"/>
      <c r="AD26" s="349"/>
      <c r="AE26" s="284"/>
      <c r="AF26" s="119"/>
      <c r="AG26" s="285"/>
      <c r="AH26" s="280">
        <f>AG26-'[1]01.09.19'!AC26</f>
        <v>0</v>
      </c>
      <c r="AI26" s="286">
        <f t="shared" si="8"/>
        <v>0</v>
      </c>
      <c r="AJ26" s="350"/>
      <c r="AK26" s="349"/>
      <c r="AL26" s="284"/>
      <c r="AM26" s="119"/>
      <c r="AN26" s="285"/>
      <c r="AO26" s="281">
        <f>AN26-'[1]01.09.19'!AI26</f>
        <v>0</v>
      </c>
      <c r="AP26" s="286">
        <f t="shared" si="10"/>
        <v>0</v>
      </c>
      <c r="AQ26" s="350"/>
      <c r="AR26" s="349"/>
      <c r="AS26" s="284"/>
      <c r="AT26" s="119"/>
      <c r="AU26" s="285"/>
      <c r="AV26" s="281">
        <f>AU26-'[1]01.09.19'!AO26</f>
        <v>0</v>
      </c>
      <c r="AW26" s="286">
        <f t="shared" si="12"/>
        <v>0</v>
      </c>
      <c r="AX26" s="350"/>
      <c r="AY26" s="349"/>
      <c r="AZ26" s="284"/>
      <c r="BA26" s="119"/>
      <c r="BB26" s="285"/>
      <c r="BC26" s="281">
        <f>BB26-'[1]01.09.19'!AU26</f>
        <v>0</v>
      </c>
      <c r="BD26" s="286">
        <f t="shared" si="14"/>
        <v>0</v>
      </c>
      <c r="BE26" s="350"/>
      <c r="BF26" s="347"/>
      <c r="BG26" s="284"/>
      <c r="BH26" s="119"/>
      <c r="BI26" s="285"/>
      <c r="BJ26" s="281">
        <f>BI26-'[1]01.09.19'!BA26</f>
        <v>0</v>
      </c>
      <c r="BK26" s="286">
        <f t="shared" si="16"/>
        <v>0</v>
      </c>
      <c r="BL26" s="350"/>
      <c r="BM26" s="347"/>
      <c r="BN26" s="284"/>
      <c r="BO26" s="119"/>
      <c r="BP26" s="285"/>
      <c r="BQ26" s="281">
        <f>BP26-'[1]01.09.19'!BG26</f>
        <v>0</v>
      </c>
      <c r="BR26" s="286">
        <f t="shared" si="17"/>
        <v>0</v>
      </c>
      <c r="BS26" s="350"/>
      <c r="BT26" s="349"/>
      <c r="BU26" s="284"/>
      <c r="BV26" s="119"/>
      <c r="BW26" s="285"/>
      <c r="BX26" s="281">
        <f>BW26-'[1]01.09.19'!BM26</f>
        <v>0</v>
      </c>
      <c r="BY26" s="286">
        <f t="shared" si="19"/>
        <v>0</v>
      </c>
      <c r="BZ26" s="350"/>
      <c r="CA26" s="349"/>
      <c r="CB26" s="284"/>
      <c r="CC26" s="119"/>
      <c r="CD26" s="285"/>
      <c r="CE26" s="281">
        <f>CD26-'[1]01.09.19'!BS26</f>
        <v>0</v>
      </c>
      <c r="CF26" s="286">
        <f t="shared" si="32"/>
        <v>0</v>
      </c>
      <c r="CG26" s="350"/>
      <c r="CH26" s="349"/>
      <c r="CI26" s="288">
        <f t="shared" si="38"/>
        <v>0</v>
      </c>
      <c r="CJ26" s="303">
        <f>D26+K26+R26+Y26+AF26+AM26+AT26+BA26+BH26+BO26+BV26+CC26</f>
        <v>0</v>
      </c>
      <c r="CK26" s="303">
        <f>E26+L26+S26+Z26+AG26+AN26+AU26+BB26+BI26+BP26+BW26+CD26</f>
        <v>0</v>
      </c>
      <c r="CL26" s="286">
        <f t="shared" si="34"/>
        <v>0</v>
      </c>
      <c r="CM26" s="286"/>
      <c r="CN26" s="351"/>
      <c r="CO26" s="140"/>
    </row>
    <row r="27" spans="1:93" ht="12.75">
      <c r="A27" s="136" t="s">
        <v>77</v>
      </c>
      <c r="B27" s="139"/>
      <c r="C27" s="284">
        <v>229.9</v>
      </c>
      <c r="D27" s="119">
        <v>229.9</v>
      </c>
      <c r="E27" s="285">
        <v>801.3</v>
      </c>
      <c r="F27" s="281">
        <f>E27-'[1]01.09.19'!E27</f>
        <v>63.19999999999993</v>
      </c>
      <c r="G27" s="286">
        <f t="shared" si="23"/>
        <v>571.4</v>
      </c>
      <c r="H27" s="282">
        <f t="shared" si="0"/>
        <v>348.5428447150935</v>
      </c>
      <c r="I27" s="349">
        <f>E27/C27%</f>
        <v>348.5428447150935</v>
      </c>
      <c r="J27" s="287">
        <v>7.3</v>
      </c>
      <c r="K27" s="119">
        <v>6</v>
      </c>
      <c r="L27" s="285">
        <v>3.8</v>
      </c>
      <c r="M27" s="281">
        <f>L27-'[1]01.09.19'!K27</f>
        <v>0</v>
      </c>
      <c r="N27" s="286">
        <f t="shared" si="2"/>
        <v>-2.2</v>
      </c>
      <c r="O27" s="350">
        <f>L27/K27%</f>
        <v>63.333333333333336</v>
      </c>
      <c r="P27" s="349">
        <f t="shared" si="24"/>
        <v>52.054794520547944</v>
      </c>
      <c r="Q27" s="284">
        <v>59.7</v>
      </c>
      <c r="R27" s="119">
        <v>1.4</v>
      </c>
      <c r="S27" s="285">
        <v>2.5</v>
      </c>
      <c r="T27" s="281">
        <f>S27-'[1]01.09.19'!Q27</f>
        <v>1.1</v>
      </c>
      <c r="U27" s="286">
        <f t="shared" si="4"/>
        <v>1.1</v>
      </c>
      <c r="V27" s="350">
        <f>S27/R27%</f>
        <v>178.57142857142858</v>
      </c>
      <c r="W27" s="349">
        <f>S27/Q27%</f>
        <v>4.1876046901172534</v>
      </c>
      <c r="X27" s="284">
        <v>27</v>
      </c>
      <c r="Y27" s="119">
        <v>3.3</v>
      </c>
      <c r="Z27" s="285">
        <v>0.3</v>
      </c>
      <c r="AA27" s="281">
        <f>Z27-'[1]01.09.19'!W27</f>
        <v>0</v>
      </c>
      <c r="AB27" s="286">
        <f t="shared" si="6"/>
        <v>-3</v>
      </c>
      <c r="AC27" s="350">
        <f>Z27/Y27%</f>
        <v>9.09090909090909</v>
      </c>
      <c r="AD27" s="349">
        <f>Z27/X27%</f>
        <v>1.111111111111111</v>
      </c>
      <c r="AE27" s="284">
        <v>5.4</v>
      </c>
      <c r="AF27" s="119">
        <v>5.4</v>
      </c>
      <c r="AG27" s="285">
        <v>0.6</v>
      </c>
      <c r="AH27" s="280">
        <f>AG27-'[1]01.09.19'!AC27</f>
        <v>0</v>
      </c>
      <c r="AI27" s="286">
        <f t="shared" si="8"/>
        <v>-4.800000000000001</v>
      </c>
      <c r="AJ27" s="350"/>
      <c r="AK27" s="349"/>
      <c r="AL27" s="284">
        <v>19</v>
      </c>
      <c r="AM27" s="119">
        <v>13</v>
      </c>
      <c r="AN27" s="285">
        <v>6.9</v>
      </c>
      <c r="AO27" s="281">
        <f>AN27-'[1]01.09.19'!AI27</f>
        <v>0</v>
      </c>
      <c r="AP27" s="286">
        <f t="shared" si="10"/>
        <v>-6.1</v>
      </c>
      <c r="AQ27" s="350">
        <f>AN27/AM27%</f>
        <v>53.07692307692308</v>
      </c>
      <c r="AR27" s="349"/>
      <c r="AS27" s="284">
        <v>53.7</v>
      </c>
      <c r="AT27" s="119">
        <v>30.6</v>
      </c>
      <c r="AU27" s="285">
        <v>30.6</v>
      </c>
      <c r="AV27" s="281">
        <f>AU27-'[1]01.09.19'!AO27</f>
        <v>0</v>
      </c>
      <c r="AW27" s="286">
        <f t="shared" si="12"/>
        <v>0</v>
      </c>
      <c r="AX27" s="350"/>
      <c r="AY27" s="349"/>
      <c r="AZ27" s="284">
        <v>20.6</v>
      </c>
      <c r="BA27" s="119">
        <v>15.6</v>
      </c>
      <c r="BB27" s="285">
        <v>6.2</v>
      </c>
      <c r="BC27" s="281">
        <f>BB27-'[1]01.09.19'!AU27</f>
        <v>0.5</v>
      </c>
      <c r="BD27" s="286">
        <f t="shared" si="14"/>
        <v>-9.399999999999999</v>
      </c>
      <c r="BE27" s="350">
        <f>BB27/BA27%</f>
        <v>39.743589743589745</v>
      </c>
      <c r="BF27" s="347">
        <f t="shared" si="28"/>
        <v>30.097087378640776</v>
      </c>
      <c r="BG27" s="284">
        <v>7.6</v>
      </c>
      <c r="BH27" s="119">
        <v>7.6</v>
      </c>
      <c r="BI27" s="285">
        <v>51.1</v>
      </c>
      <c r="BJ27" s="281">
        <f>BI27-'[1]01.09.19'!BA27</f>
        <v>4.700000000000003</v>
      </c>
      <c r="BK27" s="286">
        <f t="shared" si="16"/>
        <v>43.5</v>
      </c>
      <c r="BL27" s="379" t="s">
        <v>27</v>
      </c>
      <c r="BM27" s="347" t="s">
        <v>27</v>
      </c>
      <c r="BN27" s="284">
        <v>5.9</v>
      </c>
      <c r="BO27" s="119">
        <v>5.9</v>
      </c>
      <c r="BP27" s="285">
        <v>5.6</v>
      </c>
      <c r="BQ27" s="281">
        <f>BP27-'[1]01.09.19'!BG27</f>
        <v>0.7999999999999998</v>
      </c>
      <c r="BR27" s="286">
        <f t="shared" si="17"/>
        <v>-0.3000000000000007</v>
      </c>
      <c r="BS27" s="350">
        <f>BP27/BO27%</f>
        <v>94.91525423728812</v>
      </c>
      <c r="BT27" s="349"/>
      <c r="BU27" s="284">
        <v>69</v>
      </c>
      <c r="BV27" s="119">
        <v>17.7</v>
      </c>
      <c r="BW27" s="285">
        <v>17.2</v>
      </c>
      <c r="BX27" s="281">
        <f>BW27-'[1]01.09.19'!BM27</f>
        <v>2.5999999999999996</v>
      </c>
      <c r="BY27" s="286">
        <f t="shared" si="19"/>
        <v>-0.5</v>
      </c>
      <c r="BZ27" s="350">
        <f>BW27/BV27%</f>
        <v>97.17514124293785</v>
      </c>
      <c r="CA27" s="349">
        <f>BW27/BU27%</f>
        <v>24.92753623188406</v>
      </c>
      <c r="CB27" s="284">
        <v>114.9</v>
      </c>
      <c r="CC27" s="119">
        <v>106.4</v>
      </c>
      <c r="CD27" s="285">
        <v>118.4</v>
      </c>
      <c r="CE27" s="281">
        <f>CD27-'[1]01.09.19'!BS27</f>
        <v>25.60000000000001</v>
      </c>
      <c r="CF27" s="286">
        <f t="shared" si="32"/>
        <v>12</v>
      </c>
      <c r="CG27" s="350">
        <f>CD27/CC27%</f>
        <v>111.2781954887218</v>
      </c>
      <c r="CH27" s="349"/>
      <c r="CI27" s="288">
        <f t="shared" si="38"/>
        <v>620</v>
      </c>
      <c r="CJ27" s="303">
        <f>D27+K27+R27+Y27+AF27+AM27+AT27+BA27+BH27+BO27+BV27+CC27</f>
        <v>442.80000000000007</v>
      </c>
      <c r="CK27" s="303">
        <f>E27+L27+S27+Z27+AG27+AN27+AU27+BB27+BI27+BP27+BW27+CD27</f>
        <v>1044.5</v>
      </c>
      <c r="CL27" s="286">
        <f t="shared" si="34"/>
        <v>601.6999999999999</v>
      </c>
      <c r="CM27" s="286">
        <f t="shared" si="35"/>
        <v>235.8852755194218</v>
      </c>
      <c r="CN27" s="351">
        <f t="shared" si="36"/>
        <v>168.46774193548387</v>
      </c>
      <c r="CO27" s="140"/>
    </row>
    <row r="28" spans="1:92" s="283" customFormat="1" ht="12.75">
      <c r="A28" s="277" t="s">
        <v>78</v>
      </c>
      <c r="B28" s="278"/>
      <c r="C28" s="279">
        <f>SUM(C29:C33)</f>
        <v>343801.6</v>
      </c>
      <c r="D28" s="280">
        <f>SUM(D29:D33)</f>
        <v>152676.9</v>
      </c>
      <c r="E28" s="281">
        <f>SUM(E29:E33)</f>
        <v>152676.9</v>
      </c>
      <c r="F28" s="281">
        <f>E28-'[1]01.09.19'!E28</f>
        <v>20493.099999999977</v>
      </c>
      <c r="G28" s="349">
        <f t="shared" si="23"/>
        <v>0</v>
      </c>
      <c r="H28" s="282">
        <f t="shared" si="0"/>
        <v>100</v>
      </c>
      <c r="I28" s="349">
        <f>E28/C28%</f>
        <v>44.40843207245109</v>
      </c>
      <c r="J28" s="281">
        <f>SUM(J29:J33)</f>
        <v>11499</v>
      </c>
      <c r="K28" s="280">
        <f>SUM(K29:K33)</f>
        <v>11387.3</v>
      </c>
      <c r="L28" s="281">
        <f>SUM(L29:L33)</f>
        <v>10962.399999999998</v>
      </c>
      <c r="M28" s="281">
        <f>L28-'[1]01.09.19'!K28</f>
        <v>1463.0999999999985</v>
      </c>
      <c r="N28" s="280">
        <f>L28-K28</f>
        <v>-424.90000000000146</v>
      </c>
      <c r="O28" s="282">
        <f>L28/K28%</f>
        <v>96.26865016290077</v>
      </c>
      <c r="P28" s="347">
        <f t="shared" si="24"/>
        <v>95.33350726150098</v>
      </c>
      <c r="Q28" s="279">
        <f>SUM(Q29:Q33)</f>
        <v>51683</v>
      </c>
      <c r="R28" s="280">
        <f>SUM(R29:R33)</f>
        <v>35633.100000000006</v>
      </c>
      <c r="S28" s="281">
        <f>SUM(S29:S33)</f>
        <v>30283.5</v>
      </c>
      <c r="T28" s="281">
        <f>S28-'[1]01.09.19'!Q28</f>
        <v>3362.5999999999985</v>
      </c>
      <c r="U28" s="280">
        <f>S28-R28</f>
        <v>-5349.600000000006</v>
      </c>
      <c r="V28" s="282">
        <f>S28/R28%</f>
        <v>84.98699243119458</v>
      </c>
      <c r="W28" s="347">
        <f t="shared" si="25"/>
        <v>58.59470231991177</v>
      </c>
      <c r="X28" s="279">
        <f>SUM(X29:X33)</f>
        <v>2363.4</v>
      </c>
      <c r="Y28" s="280">
        <f>SUM(Y29:Y33)</f>
        <v>1308.8</v>
      </c>
      <c r="Z28" s="281">
        <f>SUM(Z29:Z33)</f>
        <v>1197.4</v>
      </c>
      <c r="AA28" s="281">
        <f>Z28-'[1]01.09.19'!W28</f>
        <v>270.60000000000014</v>
      </c>
      <c r="AB28" s="280">
        <f t="shared" si="6"/>
        <v>-111.39999999999986</v>
      </c>
      <c r="AC28" s="282">
        <f>Z28/Y28%</f>
        <v>91.48838630806847</v>
      </c>
      <c r="AD28" s="347">
        <f>Z28/X28%</f>
        <v>50.66429719895067</v>
      </c>
      <c r="AE28" s="279">
        <f>SUM(AE29:AE33)</f>
        <v>42519.8</v>
      </c>
      <c r="AF28" s="280">
        <f>SUM(AF29:AF33)</f>
        <v>23138.7</v>
      </c>
      <c r="AG28" s="281">
        <f>SUM(AG29:AG33)</f>
        <v>12737.2</v>
      </c>
      <c r="AH28" s="280">
        <f>AG28-'[1]01.09.19'!AC28</f>
        <v>5976.3</v>
      </c>
      <c r="AI28" s="280">
        <f t="shared" si="8"/>
        <v>-10401.5</v>
      </c>
      <c r="AJ28" s="282"/>
      <c r="AK28" s="347">
        <f>AG28/AE28%</f>
        <v>29.955926415458208</v>
      </c>
      <c r="AL28" s="279">
        <f>SUM(AL29:AL33)</f>
        <v>48233</v>
      </c>
      <c r="AM28" s="280">
        <f>SUM(AM29:AM33)</f>
        <v>10802.8</v>
      </c>
      <c r="AN28" s="281">
        <f>SUM(AN29:AN33)</f>
        <v>16880.8</v>
      </c>
      <c r="AO28" s="281">
        <f>AN28-'[1]01.09.19'!AI28</f>
        <v>1478.3999999999996</v>
      </c>
      <c r="AP28" s="280">
        <f t="shared" si="10"/>
        <v>6078</v>
      </c>
      <c r="AQ28" s="282">
        <f>AN28/AM28%</f>
        <v>156.2631910245492</v>
      </c>
      <c r="AR28" s="347">
        <f t="shared" si="26"/>
        <v>34.998445047996185</v>
      </c>
      <c r="AS28" s="279">
        <f>SUM(AS29:AS33)</f>
        <v>8758.3</v>
      </c>
      <c r="AT28" s="280">
        <f>SUM(AT29:AT33)</f>
        <v>7010.2</v>
      </c>
      <c r="AU28" s="281">
        <f>SUM(AU29:AU33)</f>
        <v>7010.299999999999</v>
      </c>
      <c r="AV28" s="281">
        <f>AU28-'[1]01.09.19'!AO28</f>
        <v>281.6999999999998</v>
      </c>
      <c r="AW28" s="280">
        <f t="shared" si="12"/>
        <v>0.0999999999994543</v>
      </c>
      <c r="AX28" s="282">
        <f aca="true" t="shared" si="39" ref="AX28:AX34">AU28/AT28%</f>
        <v>100.00142649282472</v>
      </c>
      <c r="AY28" s="347">
        <f t="shared" si="27"/>
        <v>80.04178893164197</v>
      </c>
      <c r="AZ28" s="279">
        <f>SUM(AZ29:AZ33)</f>
        <v>10101.8</v>
      </c>
      <c r="BA28" s="280">
        <f>SUM(BA29:BA33)</f>
        <v>8893.8</v>
      </c>
      <c r="BB28" s="281">
        <f>SUM(BB29:BB33)</f>
        <v>8167.3</v>
      </c>
      <c r="BC28" s="281">
        <f>BB28-'[1]01.09.19'!AU28</f>
        <v>687.3000000000002</v>
      </c>
      <c r="BD28" s="280">
        <f t="shared" si="14"/>
        <v>-726.4999999999991</v>
      </c>
      <c r="BE28" s="282">
        <f>BB28/BA28%</f>
        <v>91.8313881580427</v>
      </c>
      <c r="BF28" s="347">
        <f t="shared" si="28"/>
        <v>80.84994753410285</v>
      </c>
      <c r="BG28" s="279">
        <f>SUM(BG29:BG33)</f>
        <v>6638.199999999999</v>
      </c>
      <c r="BH28" s="280">
        <f>SUM(BH29:BH33)</f>
        <v>5696.900000000001</v>
      </c>
      <c r="BI28" s="281">
        <f>SUM(BI29:BI33)</f>
        <v>5554.200000000001</v>
      </c>
      <c r="BJ28" s="281">
        <f>BI28-'[1]01.09.19'!BA28</f>
        <v>644.1000000000004</v>
      </c>
      <c r="BK28" s="280">
        <f t="shared" si="16"/>
        <v>-142.69999999999982</v>
      </c>
      <c r="BL28" s="282">
        <f>BI28/BH28%</f>
        <v>97.49512892976882</v>
      </c>
      <c r="BM28" s="347">
        <f t="shared" si="29"/>
        <v>83.6702720617035</v>
      </c>
      <c r="BN28" s="279">
        <f>SUM(BN29:BN33)</f>
        <v>6859.099999999999</v>
      </c>
      <c r="BO28" s="280">
        <f>SUM(BO29:BO33)</f>
        <v>5937.3</v>
      </c>
      <c r="BP28" s="281">
        <f>SUM(BP29:BP33)</f>
        <v>5323.6</v>
      </c>
      <c r="BQ28" s="281">
        <f>BP28-'[1]01.09.19'!BG28</f>
        <v>716.6999999999998</v>
      </c>
      <c r="BR28" s="280">
        <f>BP28-BO28</f>
        <v>-613.6999999999998</v>
      </c>
      <c r="BS28" s="282">
        <f>BP28/BO28%</f>
        <v>89.66365182827211</v>
      </c>
      <c r="BT28" s="347">
        <f t="shared" si="30"/>
        <v>77.61368109518743</v>
      </c>
      <c r="BU28" s="279">
        <f>SUM(BU29:BU33)</f>
        <v>81669.2</v>
      </c>
      <c r="BV28" s="280">
        <f>SUM(BV29:BV33)</f>
        <v>22098.3</v>
      </c>
      <c r="BW28" s="281">
        <f>SUM(BW29:BW33)</f>
        <v>20507.9</v>
      </c>
      <c r="BX28" s="281">
        <f>BW28-'[1]01.09.19'!BM28</f>
        <v>1762.7000000000044</v>
      </c>
      <c r="BY28" s="280">
        <f>BW28-BV28</f>
        <v>-1590.3999999999978</v>
      </c>
      <c r="BZ28" s="282">
        <f>BW28/BV28%</f>
        <v>92.80306629921759</v>
      </c>
      <c r="CA28" s="347">
        <f t="shared" si="31"/>
        <v>25.110935334250858</v>
      </c>
      <c r="CB28" s="279">
        <f>SUM(CB29:CB33)</f>
        <v>45153.8</v>
      </c>
      <c r="CC28" s="280">
        <f>SUM(CC29:CC33)</f>
        <v>18145.699999999997</v>
      </c>
      <c r="CD28" s="281">
        <f>SUM(CD29:CD33)</f>
        <v>20214.5</v>
      </c>
      <c r="CE28" s="281">
        <f>CD28-'[1]01.09.19'!BS28</f>
        <v>2068.800000000003</v>
      </c>
      <c r="CF28" s="280"/>
      <c r="CG28" s="282"/>
      <c r="CH28" s="347">
        <f t="shared" si="33"/>
        <v>44.768103681196266</v>
      </c>
      <c r="CI28" s="279">
        <f t="shared" si="38"/>
        <v>659280.2</v>
      </c>
      <c r="CJ28" s="279">
        <f>D28+K28+R28+Y28+AF28+AM28+AT28+BA28+BH28+BO28+BV28+CC28</f>
        <v>302729.8</v>
      </c>
      <c r="CK28" s="279">
        <f>E28+L28+S28+Z28+AG28+AN28+AU28+BB28+BI28+BP28+BW28+CD28</f>
        <v>291516</v>
      </c>
      <c r="CL28" s="280">
        <f>CK28-CJ28</f>
        <v>-11213.799999999988</v>
      </c>
      <c r="CM28" s="280">
        <f t="shared" si="35"/>
        <v>96.2957726659219</v>
      </c>
      <c r="CN28" s="348">
        <f t="shared" si="36"/>
        <v>44.217314580355975</v>
      </c>
    </row>
    <row r="29" spans="1:92" s="133" customFormat="1" ht="12.75">
      <c r="A29" s="141" t="s">
        <v>79</v>
      </c>
      <c r="B29" s="142"/>
      <c r="C29" s="284">
        <v>27067.8</v>
      </c>
      <c r="D29" s="119">
        <v>26482.7</v>
      </c>
      <c r="E29" s="285">
        <v>26482.7</v>
      </c>
      <c r="F29" s="281">
        <f>E29-'[1]01.09.19'!E29</f>
        <v>1951</v>
      </c>
      <c r="G29" s="286">
        <f t="shared" si="23"/>
        <v>0</v>
      </c>
      <c r="H29" s="282">
        <f t="shared" si="0"/>
        <v>100</v>
      </c>
      <c r="I29" s="349"/>
      <c r="J29" s="287">
        <v>10288.4</v>
      </c>
      <c r="K29" s="119">
        <v>10288.2</v>
      </c>
      <c r="L29" s="285">
        <v>10172.8</v>
      </c>
      <c r="M29" s="281">
        <f>L29-'[1]01.09.19'!K29</f>
        <v>1170.2999999999993</v>
      </c>
      <c r="N29" s="286">
        <f>L29-K29</f>
        <v>-115.40000000000146</v>
      </c>
      <c r="O29" s="350">
        <f>L29/K29%</f>
        <v>98.87832662662078</v>
      </c>
      <c r="P29" s="349">
        <f t="shared" si="24"/>
        <v>98.87640449438202</v>
      </c>
      <c r="Q29" s="284">
        <v>21629.4</v>
      </c>
      <c r="R29" s="119">
        <v>19467</v>
      </c>
      <c r="S29" s="285">
        <v>19467</v>
      </c>
      <c r="T29" s="281">
        <f>S29-'[1]01.09.19'!Q29</f>
        <v>2163</v>
      </c>
      <c r="U29" s="286">
        <f t="shared" si="4"/>
        <v>0</v>
      </c>
      <c r="V29" s="350">
        <f>S29/R29%</f>
        <v>100</v>
      </c>
      <c r="W29" s="349">
        <f t="shared" si="25"/>
        <v>90.00249660184748</v>
      </c>
      <c r="X29" s="284">
        <v>1059.2</v>
      </c>
      <c r="Y29" s="119">
        <v>731.7</v>
      </c>
      <c r="Z29" s="285">
        <v>765.1</v>
      </c>
      <c r="AA29" s="281">
        <f>Z29-'[1]01.09.19'!W29</f>
        <v>98</v>
      </c>
      <c r="AB29" s="286">
        <f t="shared" si="6"/>
        <v>33.39999999999998</v>
      </c>
      <c r="AC29" s="350">
        <f>Z29/Y29%</f>
        <v>104.56471231378981</v>
      </c>
      <c r="AD29" s="349"/>
      <c r="AE29" s="284">
        <v>6240</v>
      </c>
      <c r="AF29" s="119">
        <v>5722.1</v>
      </c>
      <c r="AG29" s="285">
        <v>5724.9</v>
      </c>
      <c r="AH29" s="280">
        <f>AG29-'[1]01.09.19'!AC29</f>
        <v>694.8999999999996</v>
      </c>
      <c r="AI29" s="286">
        <f t="shared" si="8"/>
        <v>2.7999999999992724</v>
      </c>
      <c r="AJ29" s="350">
        <f>AG29/AF29%</f>
        <v>100.0489330840076</v>
      </c>
      <c r="AK29" s="349">
        <f>AG29/AE29%</f>
        <v>91.7451923076923</v>
      </c>
      <c r="AL29" s="284">
        <v>12989.8</v>
      </c>
      <c r="AM29" s="119">
        <v>9742.3</v>
      </c>
      <c r="AN29" s="285">
        <v>10300</v>
      </c>
      <c r="AO29" s="281">
        <f>AN29-'[1]01.09.19'!AI29</f>
        <v>1000</v>
      </c>
      <c r="AP29" s="286">
        <f t="shared" si="10"/>
        <v>557.7000000000007</v>
      </c>
      <c r="AQ29" s="350">
        <f>AN29/AM29%</f>
        <v>105.72452090368806</v>
      </c>
      <c r="AR29" s="349">
        <f t="shared" si="26"/>
        <v>79.29298372569247</v>
      </c>
      <c r="AS29" s="284">
        <v>7626.7</v>
      </c>
      <c r="AT29" s="119">
        <v>6782</v>
      </c>
      <c r="AU29" s="285">
        <v>6782</v>
      </c>
      <c r="AV29" s="281">
        <f>AU29-'[1]01.09.19'!AO29</f>
        <v>281.6999999999998</v>
      </c>
      <c r="AW29" s="286">
        <f t="shared" si="12"/>
        <v>0</v>
      </c>
      <c r="AX29" s="350">
        <f t="shared" si="39"/>
        <v>100.00000000000001</v>
      </c>
      <c r="AY29" s="349">
        <f t="shared" si="27"/>
        <v>88.92443651907116</v>
      </c>
      <c r="AZ29" s="284">
        <v>7949.2</v>
      </c>
      <c r="BA29" s="119">
        <v>7154.1</v>
      </c>
      <c r="BB29" s="285">
        <v>6929.7</v>
      </c>
      <c r="BC29" s="281">
        <f>BB29-'[1]01.09.19'!AU29</f>
        <v>339.6999999999998</v>
      </c>
      <c r="BD29" s="286">
        <f t="shared" si="14"/>
        <v>-224.40000000000055</v>
      </c>
      <c r="BE29" s="350">
        <f>BB29/BA29%</f>
        <v>96.86333710739297</v>
      </c>
      <c r="BF29" s="349">
        <f t="shared" si="28"/>
        <v>87.17481004377798</v>
      </c>
      <c r="BG29" s="284">
        <v>4258.9</v>
      </c>
      <c r="BH29" s="119">
        <v>4205.1</v>
      </c>
      <c r="BI29" s="285">
        <v>4205.1</v>
      </c>
      <c r="BJ29" s="281">
        <f>BI29-'[1]01.09.19'!BA29</f>
        <v>644.1000000000004</v>
      </c>
      <c r="BK29" s="286">
        <f t="shared" si="16"/>
        <v>0</v>
      </c>
      <c r="BL29" s="350">
        <f>BI29/BH29%</f>
        <v>100</v>
      </c>
      <c r="BM29" s="347">
        <f t="shared" si="29"/>
        <v>98.73676301392379</v>
      </c>
      <c r="BN29" s="284">
        <v>5690.9</v>
      </c>
      <c r="BO29" s="119">
        <v>5011.8</v>
      </c>
      <c r="BP29" s="285">
        <v>5011.9</v>
      </c>
      <c r="BQ29" s="281">
        <f>BP29-'[1]01.09.19'!BG29</f>
        <v>506.09999999999945</v>
      </c>
      <c r="BR29" s="286">
        <f t="shared" si="17"/>
        <v>0.0999999999994543</v>
      </c>
      <c r="BS29" s="350">
        <f>BP29/BO29%</f>
        <v>100.00199529111296</v>
      </c>
      <c r="BT29" s="349">
        <f t="shared" si="30"/>
        <v>88.0686710362157</v>
      </c>
      <c r="BU29" s="284">
        <v>16944.7</v>
      </c>
      <c r="BV29" s="119">
        <v>13705.1</v>
      </c>
      <c r="BW29" s="285">
        <v>13819.5</v>
      </c>
      <c r="BX29" s="281">
        <f>BW29-'[1]01.09.19'!BM29</f>
        <v>1730.6000000000004</v>
      </c>
      <c r="BY29" s="286">
        <f t="shared" si="19"/>
        <v>114.39999999999964</v>
      </c>
      <c r="BZ29" s="350">
        <f>BW29/BV29%</f>
        <v>100.834725759024</v>
      </c>
      <c r="CA29" s="349">
        <f t="shared" si="31"/>
        <v>81.55647488595254</v>
      </c>
      <c r="CB29" s="284">
        <v>14958.6</v>
      </c>
      <c r="CC29" s="119">
        <v>10436.9</v>
      </c>
      <c r="CD29" s="285">
        <v>11856.3</v>
      </c>
      <c r="CE29" s="281">
        <f>CD29-'[1]01.09.19'!BS29</f>
        <v>1419.3999999999996</v>
      </c>
      <c r="CF29" s="286"/>
      <c r="CG29" s="350">
        <f>CD29/CC29%</f>
        <v>113.59982370244037</v>
      </c>
      <c r="CH29" s="349">
        <f t="shared" si="33"/>
        <v>79.26075969676306</v>
      </c>
      <c r="CI29" s="288">
        <f t="shared" si="38"/>
        <v>136703.59999999998</v>
      </c>
      <c r="CJ29" s="221">
        <f>D29+K29+R29+Y29+AF29+AM29+AT29+BA29+BH29+BO29+BV29+CC29</f>
        <v>119729.00000000001</v>
      </c>
      <c r="CK29" s="221">
        <f>E29+L29+S29+Z29+AG29+AN29+AU29+BB29+BI29+BP29+BW29+CD29</f>
        <v>121517</v>
      </c>
      <c r="CL29" s="220">
        <f>CK29-CJ29</f>
        <v>1787.9999999999854</v>
      </c>
      <c r="CM29" s="286">
        <f t="shared" si="35"/>
        <v>101.49337253297027</v>
      </c>
      <c r="CN29" s="351">
        <f t="shared" si="36"/>
        <v>88.89085583700796</v>
      </c>
    </row>
    <row r="30" spans="1:92" s="133" customFormat="1" ht="12.75">
      <c r="A30" s="143" t="s">
        <v>152</v>
      </c>
      <c r="B30" s="142"/>
      <c r="C30" s="284">
        <v>2628</v>
      </c>
      <c r="D30" s="119"/>
      <c r="E30" s="285"/>
      <c r="F30" s="281">
        <f>E30-'[1]01.09.19'!E30</f>
        <v>0</v>
      </c>
      <c r="G30" s="286"/>
      <c r="H30" s="282"/>
      <c r="I30" s="349"/>
      <c r="J30" s="287"/>
      <c r="K30" s="119"/>
      <c r="L30" s="285"/>
      <c r="M30" s="281">
        <f>L30-'[1]01.09.19'!K30</f>
        <v>0</v>
      </c>
      <c r="N30" s="286"/>
      <c r="O30" s="350"/>
      <c r="P30" s="349"/>
      <c r="Q30" s="284"/>
      <c r="R30" s="119"/>
      <c r="S30" s="285"/>
      <c r="T30" s="281">
        <f>S30-'[1]01.09.19'!Q30</f>
        <v>0</v>
      </c>
      <c r="U30" s="286">
        <f t="shared" si="4"/>
        <v>0</v>
      </c>
      <c r="V30" s="350"/>
      <c r="W30" s="349"/>
      <c r="X30" s="284"/>
      <c r="Y30" s="119"/>
      <c r="Z30" s="285"/>
      <c r="AA30" s="281">
        <f>Z30-'[1]01.09.19'!W30</f>
        <v>0</v>
      </c>
      <c r="AB30" s="286"/>
      <c r="AC30" s="350"/>
      <c r="AD30" s="349"/>
      <c r="AE30" s="284"/>
      <c r="AF30" s="119"/>
      <c r="AG30" s="285"/>
      <c r="AH30" s="280">
        <f>AG30-'[1]01.09.19'!AC30</f>
        <v>0</v>
      </c>
      <c r="AI30" s="286"/>
      <c r="AJ30" s="350"/>
      <c r="AK30" s="349"/>
      <c r="AL30" s="284"/>
      <c r="AM30" s="119"/>
      <c r="AN30" s="285"/>
      <c r="AO30" s="281">
        <f>AN30-'[1]01.09.19'!AI30</f>
        <v>0</v>
      </c>
      <c r="AP30" s="286"/>
      <c r="AQ30" s="350"/>
      <c r="AR30" s="349"/>
      <c r="AS30" s="284"/>
      <c r="AT30" s="119"/>
      <c r="AU30" s="285"/>
      <c r="AV30" s="281">
        <f>AU30-'[1]01.09.19'!AO30</f>
        <v>0</v>
      </c>
      <c r="AW30" s="286"/>
      <c r="AX30" s="350"/>
      <c r="AY30" s="349"/>
      <c r="AZ30" s="284"/>
      <c r="BA30" s="119"/>
      <c r="BB30" s="285"/>
      <c r="BC30" s="281">
        <f>BB30-'[1]01.09.19'!AU30</f>
        <v>0</v>
      </c>
      <c r="BD30" s="286"/>
      <c r="BE30" s="350"/>
      <c r="BF30" s="349"/>
      <c r="BG30" s="284"/>
      <c r="BH30" s="119"/>
      <c r="BI30" s="285"/>
      <c r="BJ30" s="281">
        <f>BI30-'[1]01.09.19'!BA30</f>
        <v>0</v>
      </c>
      <c r="BK30" s="286">
        <f t="shared" si="16"/>
        <v>0</v>
      </c>
      <c r="BL30" s="350"/>
      <c r="BM30" s="347"/>
      <c r="BN30" s="284"/>
      <c r="BO30" s="119"/>
      <c r="BP30" s="285"/>
      <c r="BQ30" s="281">
        <f>BP30-'[1]01.09.19'!BG30</f>
        <v>0</v>
      </c>
      <c r="BR30" s="286"/>
      <c r="BS30" s="350"/>
      <c r="BT30" s="349"/>
      <c r="BU30" s="284"/>
      <c r="BV30" s="119"/>
      <c r="BW30" s="285"/>
      <c r="BX30" s="281">
        <f>BW30-'[1]01.09.19'!BM30</f>
        <v>0</v>
      </c>
      <c r="BY30" s="286"/>
      <c r="BZ30" s="350"/>
      <c r="CA30" s="349"/>
      <c r="CB30" s="284"/>
      <c r="CC30" s="119"/>
      <c r="CD30" s="285"/>
      <c r="CE30" s="281">
        <f>CD30-'[1]01.09.19'!BS30</f>
        <v>0</v>
      </c>
      <c r="CF30" s="286"/>
      <c r="CG30" s="350"/>
      <c r="CH30" s="349"/>
      <c r="CI30" s="288">
        <f t="shared" si="38"/>
        <v>2628</v>
      </c>
      <c r="CJ30" s="221"/>
      <c r="CK30" s="221"/>
      <c r="CL30" s="220"/>
      <c r="CM30" s="286"/>
      <c r="CN30" s="351"/>
    </row>
    <row r="31" spans="1:92" s="133" customFormat="1" ht="12.75">
      <c r="A31" s="143" t="s">
        <v>80</v>
      </c>
      <c r="B31" s="142"/>
      <c r="C31" s="284">
        <v>0.2</v>
      </c>
      <c r="D31" s="119">
        <v>0.2</v>
      </c>
      <c r="E31" s="285">
        <v>0.2</v>
      </c>
      <c r="F31" s="281">
        <f>E31-'[1]01.09.19'!E31</f>
        <v>0</v>
      </c>
      <c r="G31" s="286">
        <f t="shared" si="23"/>
        <v>0</v>
      </c>
      <c r="H31" s="282">
        <f t="shared" si="0"/>
        <v>100</v>
      </c>
      <c r="I31" s="349">
        <f>E31/C31%</f>
        <v>100</v>
      </c>
      <c r="J31" s="287">
        <v>208.4</v>
      </c>
      <c r="K31" s="119">
        <v>156.3</v>
      </c>
      <c r="L31" s="285">
        <v>156.3</v>
      </c>
      <c r="M31" s="281">
        <f>L31-'[1]01.09.19'!K31</f>
        <v>0</v>
      </c>
      <c r="N31" s="286">
        <f>L31-K31</f>
        <v>0</v>
      </c>
      <c r="O31" s="350">
        <f>L31/K31%</f>
        <v>100</v>
      </c>
      <c r="P31" s="349">
        <f t="shared" si="24"/>
        <v>75</v>
      </c>
      <c r="Q31" s="284">
        <v>208.4</v>
      </c>
      <c r="R31" s="119">
        <v>208.4</v>
      </c>
      <c r="S31" s="285">
        <v>180.2</v>
      </c>
      <c r="T31" s="281">
        <f>S31-'[1]01.09.19'!Q31</f>
        <v>0</v>
      </c>
      <c r="U31" s="286">
        <f t="shared" si="4"/>
        <v>-28.200000000000017</v>
      </c>
      <c r="V31" s="350">
        <f>S31/R31%</f>
        <v>86.468330134357</v>
      </c>
      <c r="W31" s="349">
        <f t="shared" si="25"/>
        <v>86.468330134357</v>
      </c>
      <c r="X31" s="284">
        <v>208.4</v>
      </c>
      <c r="Y31" s="119">
        <v>157.3</v>
      </c>
      <c r="Z31" s="285">
        <v>157.3</v>
      </c>
      <c r="AA31" s="281">
        <f>Z31-'[1]01.09.19'!W31</f>
        <v>0.10000000000002274</v>
      </c>
      <c r="AB31" s="286">
        <f t="shared" si="6"/>
        <v>0</v>
      </c>
      <c r="AC31" s="350">
        <f>Z31/Y31%</f>
        <v>100</v>
      </c>
      <c r="AD31" s="349">
        <f>Z31/X31%</f>
        <v>75.47984644913628</v>
      </c>
      <c r="AE31" s="284">
        <v>208.4</v>
      </c>
      <c r="AF31" s="119">
        <v>154.4</v>
      </c>
      <c r="AG31" s="285">
        <v>154.1</v>
      </c>
      <c r="AH31" s="280">
        <f>AG31-'[1]01.09.19'!AC31</f>
        <v>0</v>
      </c>
      <c r="AI31" s="286">
        <f t="shared" si="8"/>
        <v>-0.30000000000001137</v>
      </c>
      <c r="AJ31" s="350">
        <f>AG31/AF31%</f>
        <v>99.80569948186528</v>
      </c>
      <c r="AK31" s="349">
        <f>AG31/AE31%</f>
        <v>73.94433781190018</v>
      </c>
      <c r="AL31" s="284">
        <v>416.6</v>
      </c>
      <c r="AM31" s="119">
        <v>312.4</v>
      </c>
      <c r="AN31" s="285">
        <v>312.5</v>
      </c>
      <c r="AO31" s="281">
        <f>AN31-'[1]01.09.19'!AI31</f>
        <v>0</v>
      </c>
      <c r="AP31" s="286">
        <f t="shared" si="10"/>
        <v>0.10000000000002274</v>
      </c>
      <c r="AQ31" s="350">
        <f>AN31/AM31%</f>
        <v>100.03201024327785</v>
      </c>
      <c r="AR31" s="349">
        <f t="shared" si="26"/>
        <v>75.01200192030724</v>
      </c>
      <c r="AS31" s="284">
        <v>208.4</v>
      </c>
      <c r="AT31" s="119">
        <v>140.4</v>
      </c>
      <c r="AU31" s="285">
        <v>140.4</v>
      </c>
      <c r="AV31" s="281">
        <f>AU31-'[1]01.09.19'!AO31</f>
        <v>0</v>
      </c>
      <c r="AW31" s="286">
        <f t="shared" si="12"/>
        <v>0</v>
      </c>
      <c r="AX31" s="350">
        <f t="shared" si="39"/>
        <v>100</v>
      </c>
      <c r="AY31" s="349">
        <f t="shared" si="27"/>
        <v>67.37044145873321</v>
      </c>
      <c r="AZ31" s="284">
        <v>208.4</v>
      </c>
      <c r="BA31" s="119">
        <v>156.2</v>
      </c>
      <c r="BB31" s="285">
        <v>158.8</v>
      </c>
      <c r="BC31" s="281">
        <f>BB31-'[1]01.09.19'!AU31</f>
        <v>0</v>
      </c>
      <c r="BD31" s="286">
        <f t="shared" si="14"/>
        <v>2.6000000000000227</v>
      </c>
      <c r="BE31" s="350">
        <f>BB31/BA31%</f>
        <v>101.66453265044817</v>
      </c>
      <c r="BF31" s="349">
        <f t="shared" si="28"/>
        <v>76.1996161228407</v>
      </c>
      <c r="BG31" s="284">
        <v>208.4</v>
      </c>
      <c r="BH31" s="119">
        <v>149</v>
      </c>
      <c r="BI31" s="285">
        <v>149</v>
      </c>
      <c r="BJ31" s="281">
        <f>BI31-'[1]01.09.19'!BA31</f>
        <v>0</v>
      </c>
      <c r="BK31" s="286">
        <f t="shared" si="16"/>
        <v>0</v>
      </c>
      <c r="BL31" s="350">
        <f>BI31/BH31%</f>
        <v>100</v>
      </c>
      <c r="BM31" s="349">
        <f t="shared" si="29"/>
        <v>71.49712092130518</v>
      </c>
      <c r="BN31" s="284">
        <v>83.5</v>
      </c>
      <c r="BO31" s="119">
        <v>69</v>
      </c>
      <c r="BP31" s="285">
        <v>71.6</v>
      </c>
      <c r="BQ31" s="281">
        <f>BP31-'[1]01.09.19'!BG31</f>
        <v>0</v>
      </c>
      <c r="BR31" s="286">
        <f t="shared" si="17"/>
        <v>2.5999999999999943</v>
      </c>
      <c r="BS31" s="350">
        <f>BP31/BO31%</f>
        <v>103.76811594202898</v>
      </c>
      <c r="BT31" s="349">
        <f t="shared" si="30"/>
        <v>85.74850299401197</v>
      </c>
      <c r="BU31" s="284">
        <v>208.4</v>
      </c>
      <c r="BV31" s="119">
        <v>156.3</v>
      </c>
      <c r="BW31" s="285">
        <v>155.3</v>
      </c>
      <c r="BX31" s="281">
        <f>BW31-'[1]01.09.19'!BM31</f>
        <v>0</v>
      </c>
      <c r="BY31" s="286">
        <f t="shared" si="19"/>
        <v>-1</v>
      </c>
      <c r="BZ31" s="350">
        <f>BW31/BV31%</f>
        <v>99.36020473448497</v>
      </c>
      <c r="CA31" s="349">
        <f t="shared" si="31"/>
        <v>74.52015355086372</v>
      </c>
      <c r="CB31" s="308">
        <v>208.4</v>
      </c>
      <c r="CC31" s="119">
        <v>155.9</v>
      </c>
      <c r="CD31" s="285">
        <v>155.9</v>
      </c>
      <c r="CE31" s="281">
        <f>CD31-'[1]01.09.19'!BS31</f>
        <v>0</v>
      </c>
      <c r="CF31" s="286"/>
      <c r="CG31" s="350">
        <f>CD31/CC31%</f>
        <v>100</v>
      </c>
      <c r="CH31" s="349">
        <f t="shared" si="33"/>
        <v>74.8080614203455</v>
      </c>
      <c r="CI31" s="288">
        <f t="shared" si="38"/>
        <v>2375.9000000000005</v>
      </c>
      <c r="CJ31" s="221">
        <f t="shared" si="38"/>
        <v>1815.8000000000002</v>
      </c>
      <c r="CK31" s="221">
        <f t="shared" si="38"/>
        <v>1791.6</v>
      </c>
      <c r="CL31" s="220">
        <f>CK31-CJ31</f>
        <v>-24.200000000000273</v>
      </c>
      <c r="CM31" s="286">
        <f t="shared" si="35"/>
        <v>98.66725410287475</v>
      </c>
      <c r="CN31" s="351">
        <f t="shared" si="36"/>
        <v>75.40721410833788</v>
      </c>
    </row>
    <row r="32" spans="1:94" s="133" customFormat="1" ht="12.75">
      <c r="A32" s="141" t="s">
        <v>81</v>
      </c>
      <c r="B32" s="142"/>
      <c r="C32" s="284">
        <v>313771</v>
      </c>
      <c r="D32" s="119">
        <v>125859.4</v>
      </c>
      <c r="E32" s="285">
        <v>125859.4</v>
      </c>
      <c r="F32" s="281">
        <f>E32-'[1]01.09.19'!E32</f>
        <v>18542.09999999999</v>
      </c>
      <c r="G32" s="286">
        <f t="shared" si="23"/>
        <v>0</v>
      </c>
      <c r="H32" s="282">
        <f t="shared" si="0"/>
        <v>99.99999999999999</v>
      </c>
      <c r="I32" s="349">
        <f>E32/C32%</f>
        <v>40.11186502258016</v>
      </c>
      <c r="J32" s="287">
        <v>1002.2</v>
      </c>
      <c r="K32" s="119">
        <v>942.8</v>
      </c>
      <c r="L32" s="285">
        <v>633.3</v>
      </c>
      <c r="M32" s="281">
        <f>L32-'[1]01.09.19'!K32</f>
        <v>292.79999999999995</v>
      </c>
      <c r="N32" s="286">
        <f t="shared" si="2"/>
        <v>-309.5</v>
      </c>
      <c r="O32" s="350">
        <f>L32/K32%</f>
        <v>67.17225286380993</v>
      </c>
      <c r="P32" s="349">
        <f t="shared" si="24"/>
        <v>63.19097984434244</v>
      </c>
      <c r="Q32" s="284">
        <v>29845.2</v>
      </c>
      <c r="R32" s="119">
        <v>15957.7</v>
      </c>
      <c r="S32" s="285">
        <v>10636.3</v>
      </c>
      <c r="T32" s="281">
        <f>S32-'[1]01.09.19'!Q32</f>
        <v>1199.5999999999985</v>
      </c>
      <c r="U32" s="286">
        <f t="shared" si="4"/>
        <v>-5321.4000000000015</v>
      </c>
      <c r="V32" s="350">
        <f>S32/R32%</f>
        <v>66.65308910431953</v>
      </c>
      <c r="W32" s="349">
        <f t="shared" si="25"/>
        <v>35.63822658249902</v>
      </c>
      <c r="X32" s="284">
        <v>1095.8</v>
      </c>
      <c r="Y32" s="119">
        <v>419.8</v>
      </c>
      <c r="Z32" s="387">
        <v>275</v>
      </c>
      <c r="AA32" s="281">
        <f>Z32-'[1]01.09.19'!W32</f>
        <v>172.5</v>
      </c>
      <c r="AB32" s="286">
        <f t="shared" si="6"/>
        <v>-144.8</v>
      </c>
      <c r="AC32" s="350">
        <f>Z32/Y32%</f>
        <v>65.50738446879465</v>
      </c>
      <c r="AD32" s="349"/>
      <c r="AE32" s="284">
        <v>36071.4</v>
      </c>
      <c r="AF32" s="119">
        <v>17262.2</v>
      </c>
      <c r="AG32" s="285">
        <v>6858.2</v>
      </c>
      <c r="AH32" s="280">
        <f>AG32-'[1]01.09.19'!AC32</f>
        <v>5281.4</v>
      </c>
      <c r="AI32" s="286">
        <f t="shared" si="8"/>
        <v>-10404</v>
      </c>
      <c r="AJ32" s="350">
        <f>AG32/AF32%</f>
        <v>39.72958255610524</v>
      </c>
      <c r="AK32" s="349"/>
      <c r="AL32" s="284">
        <v>34826.6</v>
      </c>
      <c r="AM32" s="119">
        <v>748.1</v>
      </c>
      <c r="AN32" s="285">
        <v>6268.3</v>
      </c>
      <c r="AO32" s="281">
        <f>AN32-'[1]01.09.19'!AI32</f>
        <v>478.40000000000055</v>
      </c>
      <c r="AP32" s="286">
        <f t="shared" si="10"/>
        <v>5520.2</v>
      </c>
      <c r="AQ32" s="350">
        <f>AN32/AM32%</f>
        <v>837.8960032081272</v>
      </c>
      <c r="AR32" s="349">
        <f t="shared" si="26"/>
        <v>17.998598772202858</v>
      </c>
      <c r="AS32" s="284">
        <v>923.2</v>
      </c>
      <c r="AT32" s="119">
        <v>87.8</v>
      </c>
      <c r="AU32" s="285">
        <v>87.9</v>
      </c>
      <c r="AV32" s="281">
        <f>AU32-'[1]01.09.19'!AO32</f>
        <v>0</v>
      </c>
      <c r="AW32" s="286">
        <f t="shared" si="12"/>
        <v>0.10000000000000853</v>
      </c>
      <c r="AX32" s="350"/>
      <c r="AY32" s="349">
        <f t="shared" si="27"/>
        <v>9.521230502599654</v>
      </c>
      <c r="AZ32" s="284">
        <v>1944.2</v>
      </c>
      <c r="BA32" s="119">
        <v>1583.5</v>
      </c>
      <c r="BB32" s="285">
        <v>1078.8</v>
      </c>
      <c r="BC32" s="281">
        <f>BB32-'[1]01.09.19'!AU32</f>
        <v>347.5999999999999</v>
      </c>
      <c r="BD32" s="286">
        <f t="shared" si="14"/>
        <v>-504.70000000000005</v>
      </c>
      <c r="BE32" s="350">
        <f>BB32/BA32%</f>
        <v>68.12756551941901</v>
      </c>
      <c r="BF32" s="349">
        <f t="shared" si="28"/>
        <v>55.48811850632651</v>
      </c>
      <c r="BG32" s="284">
        <v>2170.9</v>
      </c>
      <c r="BH32" s="119">
        <v>1342.8</v>
      </c>
      <c r="BI32" s="285">
        <v>1200.1</v>
      </c>
      <c r="BJ32" s="281">
        <f>BI32-'[1]01.09.19'!BA32</f>
        <v>0</v>
      </c>
      <c r="BK32" s="286">
        <f t="shared" si="16"/>
        <v>-142.70000000000005</v>
      </c>
      <c r="BL32" s="350">
        <f>BI32/BH32%</f>
        <v>89.37295204051236</v>
      </c>
      <c r="BM32" s="349">
        <f t="shared" si="29"/>
        <v>55.28121977060205</v>
      </c>
      <c r="BN32" s="284">
        <v>1084.7</v>
      </c>
      <c r="BO32" s="119">
        <v>856.5</v>
      </c>
      <c r="BP32" s="285">
        <v>240.1</v>
      </c>
      <c r="BQ32" s="281">
        <f>BP32-'[1]01.09.19'!BG32</f>
        <v>210.6</v>
      </c>
      <c r="BR32" s="286">
        <f t="shared" si="17"/>
        <v>-616.4</v>
      </c>
      <c r="BS32" s="350">
        <f>BP32/BO32%</f>
        <v>28.03269118505546</v>
      </c>
      <c r="BT32" s="349">
        <f t="shared" si="30"/>
        <v>22.135152576749327</v>
      </c>
      <c r="BU32" s="284">
        <v>64516.1</v>
      </c>
      <c r="BV32" s="119">
        <v>8236.9</v>
      </c>
      <c r="BW32" s="285">
        <v>6533.1</v>
      </c>
      <c r="BX32" s="281">
        <f>BW32-'[1]01.09.19'!BM32</f>
        <v>32.100000000000364</v>
      </c>
      <c r="BY32" s="286">
        <f t="shared" si="19"/>
        <v>-1703.7999999999993</v>
      </c>
      <c r="BZ32" s="350">
        <f>BW32/BV32%</f>
        <v>79.31503356845415</v>
      </c>
      <c r="CA32" s="349">
        <f t="shared" si="31"/>
        <v>10.126309556839303</v>
      </c>
      <c r="CB32" s="284">
        <v>29986.8</v>
      </c>
      <c r="CC32" s="119">
        <v>7552.9</v>
      </c>
      <c r="CD32" s="285">
        <v>8202.3</v>
      </c>
      <c r="CE32" s="281">
        <f>CD32-'[1]01.09.19'!BS32</f>
        <v>649.3999999999996</v>
      </c>
      <c r="CF32" s="286"/>
      <c r="CG32" s="350">
        <f>CD32/CC32%</f>
        <v>108.59802195183306</v>
      </c>
      <c r="CH32" s="349">
        <f t="shared" si="33"/>
        <v>27.353035335547638</v>
      </c>
      <c r="CI32" s="288">
        <f t="shared" si="38"/>
        <v>517238.10000000003</v>
      </c>
      <c r="CJ32" s="221">
        <f t="shared" si="38"/>
        <v>180850.39999999997</v>
      </c>
      <c r="CK32" s="221">
        <f t="shared" si="38"/>
        <v>167872.8</v>
      </c>
      <c r="CL32" s="220">
        <f>CK32-CJ32</f>
        <v>-12977.599999999977</v>
      </c>
      <c r="CM32" s="286">
        <f t="shared" si="35"/>
        <v>92.82412424855019</v>
      </c>
      <c r="CN32" s="351">
        <f t="shared" si="36"/>
        <v>32.45561376859129</v>
      </c>
      <c r="CO32" s="309"/>
      <c r="CP32" s="309"/>
    </row>
    <row r="33" spans="1:94" s="133" customFormat="1" ht="12.75">
      <c r="A33" s="141" t="s">
        <v>82</v>
      </c>
      <c r="B33" s="142"/>
      <c r="C33" s="284">
        <v>334.6</v>
      </c>
      <c r="D33" s="119">
        <v>334.6</v>
      </c>
      <c r="E33" s="285">
        <v>334.6</v>
      </c>
      <c r="F33" s="281">
        <f>E33-'[1]01.09.19'!E33</f>
        <v>0</v>
      </c>
      <c r="G33" s="286">
        <f>E33-D33</f>
        <v>0</v>
      </c>
      <c r="H33" s="282">
        <f t="shared" si="0"/>
        <v>100</v>
      </c>
      <c r="I33" s="349">
        <f>E33/C33%</f>
        <v>100</v>
      </c>
      <c r="J33" s="287"/>
      <c r="K33" s="119"/>
      <c r="L33" s="285"/>
      <c r="M33" s="281">
        <f>L33-'[1]01.09.19'!K33</f>
        <v>0</v>
      </c>
      <c r="N33" s="286">
        <f t="shared" si="2"/>
        <v>0</v>
      </c>
      <c r="O33" s="350"/>
      <c r="P33" s="349"/>
      <c r="Q33" s="308" t="s">
        <v>106</v>
      </c>
      <c r="R33" s="119"/>
      <c r="S33" s="285"/>
      <c r="T33" s="281">
        <f>S33-'[1]01.09.19'!Q33</f>
        <v>0</v>
      </c>
      <c r="U33" s="286">
        <f t="shared" si="4"/>
        <v>0</v>
      </c>
      <c r="V33" s="350"/>
      <c r="W33" s="349"/>
      <c r="X33" s="284"/>
      <c r="Y33" s="119"/>
      <c r="Z33" s="285"/>
      <c r="AA33" s="281">
        <f>Z33-'[1]01.09.19'!W33</f>
        <v>0</v>
      </c>
      <c r="AB33" s="286">
        <f t="shared" si="6"/>
        <v>0</v>
      </c>
      <c r="AC33" s="350"/>
      <c r="AD33" s="349"/>
      <c r="AE33" s="284"/>
      <c r="AF33" s="119"/>
      <c r="AG33" s="285"/>
      <c r="AH33" s="280">
        <f>AG33-'[1]01.09.19'!AC33</f>
        <v>0</v>
      </c>
      <c r="AI33" s="286">
        <f t="shared" si="8"/>
        <v>0</v>
      </c>
      <c r="AJ33" s="350"/>
      <c r="AK33" s="349"/>
      <c r="AL33" s="284"/>
      <c r="AM33" s="119"/>
      <c r="AN33" s="285"/>
      <c r="AO33" s="281">
        <f>AN33-'[1]01.09.19'!AI33</f>
        <v>0</v>
      </c>
      <c r="AP33" s="286">
        <f t="shared" si="10"/>
        <v>0</v>
      </c>
      <c r="AQ33" s="350"/>
      <c r="AR33" s="349"/>
      <c r="AS33" s="284"/>
      <c r="AT33" s="119"/>
      <c r="AU33" s="285"/>
      <c r="AV33" s="281">
        <f>AU33-'[1]01.09.19'!AO33</f>
        <v>0</v>
      </c>
      <c r="AW33" s="286">
        <f t="shared" si="12"/>
        <v>0</v>
      </c>
      <c r="AX33" s="350"/>
      <c r="AY33" s="349"/>
      <c r="AZ33" s="284"/>
      <c r="BA33" s="119"/>
      <c r="BB33" s="285"/>
      <c r="BC33" s="281">
        <f>BB33-'[1]01.09.19'!AU33</f>
        <v>0</v>
      </c>
      <c r="BD33" s="286">
        <f t="shared" si="14"/>
        <v>0</v>
      </c>
      <c r="BE33" s="350"/>
      <c r="BF33" s="349"/>
      <c r="BG33" s="284"/>
      <c r="BH33" s="119"/>
      <c r="BI33" s="285"/>
      <c r="BJ33" s="281">
        <f>BI33-'[1]01.09.19'!BA33</f>
        <v>0</v>
      </c>
      <c r="BK33" s="286"/>
      <c r="BL33" s="350"/>
      <c r="BM33" s="349"/>
      <c r="BN33" s="284"/>
      <c r="BO33" s="119"/>
      <c r="BP33" s="285"/>
      <c r="BQ33" s="281">
        <f>BP33-'[1]01.09.19'!BG33</f>
        <v>0</v>
      </c>
      <c r="BR33" s="286"/>
      <c r="BS33" s="350"/>
      <c r="BT33" s="349"/>
      <c r="BU33" s="284"/>
      <c r="BV33" s="119"/>
      <c r="BW33" s="285"/>
      <c r="BX33" s="281">
        <f>BW33-'[1]01.09.19'!BM33</f>
        <v>0</v>
      </c>
      <c r="BY33" s="286"/>
      <c r="BZ33" s="350"/>
      <c r="CA33" s="349"/>
      <c r="CB33" s="284"/>
      <c r="CC33" s="119"/>
      <c r="CD33" s="285"/>
      <c r="CE33" s="281">
        <f>CD33-'[1]01.09.19'!BS33</f>
        <v>0</v>
      </c>
      <c r="CF33" s="286"/>
      <c r="CG33" s="350"/>
      <c r="CH33" s="349"/>
      <c r="CI33" s="288">
        <v>334.6</v>
      </c>
      <c r="CJ33" s="303">
        <f t="shared" si="38"/>
        <v>334.6</v>
      </c>
      <c r="CK33" s="303">
        <f t="shared" si="38"/>
        <v>334.6</v>
      </c>
      <c r="CL33" s="286"/>
      <c r="CM33" s="286">
        <f t="shared" si="35"/>
        <v>100</v>
      </c>
      <c r="CN33" s="386" t="s">
        <v>106</v>
      </c>
      <c r="CO33" s="309"/>
      <c r="CP33" s="309"/>
    </row>
    <row r="34" spans="1:94" s="315" customFormat="1" ht="13.5" thickBot="1">
      <c r="A34" s="310" t="s">
        <v>83</v>
      </c>
      <c r="B34" s="311"/>
      <c r="C34" s="312">
        <f>C9+C28</f>
        <v>447386.5</v>
      </c>
      <c r="D34" s="312">
        <f>D9+D28</f>
        <v>223393.7</v>
      </c>
      <c r="E34" s="313">
        <f>E9+E28</f>
        <v>225416</v>
      </c>
      <c r="F34" s="281">
        <f>E34-'[1]01.09.19'!E34</f>
        <v>28981.399999999965</v>
      </c>
      <c r="G34" s="280">
        <f>E34-D34</f>
        <v>2022.2999999999884</v>
      </c>
      <c r="H34" s="282">
        <f t="shared" si="0"/>
        <v>100.90526277151056</v>
      </c>
      <c r="I34" s="363">
        <f>E34/C34%</f>
        <v>50.38506973277021</v>
      </c>
      <c r="J34" s="312">
        <f>J9+J28</f>
        <v>15560.4</v>
      </c>
      <c r="K34" s="312">
        <f>K9+K28</f>
        <v>13802.8</v>
      </c>
      <c r="L34" s="313">
        <f>L9+L28</f>
        <v>14145.299999999997</v>
      </c>
      <c r="M34" s="281">
        <f>L34-'[1]01.09.19'!K34</f>
        <v>1959.8999999999996</v>
      </c>
      <c r="N34" s="280">
        <f>L34-K34</f>
        <v>342.4999999999982</v>
      </c>
      <c r="O34" s="282">
        <f>L34/K34%</f>
        <v>102.4813805894456</v>
      </c>
      <c r="P34" s="363">
        <f t="shared" si="24"/>
        <v>90.9057607773579</v>
      </c>
      <c r="Q34" s="312">
        <f>Q9+Q28</f>
        <v>57071.5</v>
      </c>
      <c r="R34" s="313">
        <f>R9+R28</f>
        <v>39877.40000000001</v>
      </c>
      <c r="S34" s="313">
        <f>S9+S28</f>
        <v>34595.1</v>
      </c>
      <c r="T34" s="281">
        <f>S34-'[1]01.09.19'!Q34</f>
        <v>3685.0999999999985</v>
      </c>
      <c r="U34" s="280">
        <f>S34-R34</f>
        <v>-5282.30000000001</v>
      </c>
      <c r="V34" s="282">
        <f>S34/R34%</f>
        <v>86.75364993705705</v>
      </c>
      <c r="W34" s="363">
        <f t="shared" si="25"/>
        <v>60.61712062938594</v>
      </c>
      <c r="X34" s="312">
        <f>X9+X28</f>
        <v>11258.4</v>
      </c>
      <c r="Y34" s="313">
        <f>Y9+Y28</f>
        <v>5554.499999999999</v>
      </c>
      <c r="Z34" s="313">
        <f>Z9+Z28</f>
        <v>6865.9</v>
      </c>
      <c r="AA34" s="281">
        <f>Z34-'[1]01.09.19'!W34</f>
        <v>1171.999999999999</v>
      </c>
      <c r="AB34" s="280">
        <f>Z34-Y34</f>
        <v>1311.4000000000005</v>
      </c>
      <c r="AC34" s="282">
        <f>Z34/Y34%</f>
        <v>123.60968584030968</v>
      </c>
      <c r="AD34" s="363">
        <f>Z34/X34%</f>
        <v>60.98468698927023</v>
      </c>
      <c r="AE34" s="312">
        <f>AE9+AE28</f>
        <v>47893.3</v>
      </c>
      <c r="AF34" s="313">
        <f>AF9+AF28</f>
        <v>25009.9</v>
      </c>
      <c r="AG34" s="313">
        <f>AG9+AG28</f>
        <v>16442.3</v>
      </c>
      <c r="AH34" s="280">
        <f>AG34-'[1]01.09.19'!AC34</f>
        <v>7171.199999999999</v>
      </c>
      <c r="AI34" s="280">
        <f>AG34-AF34</f>
        <v>-8567.600000000002</v>
      </c>
      <c r="AJ34" s="282">
        <f>AG34/AF34%</f>
        <v>65.74316570638027</v>
      </c>
      <c r="AK34" s="363">
        <f>AG34/AE34%</f>
        <v>34.33110685628261</v>
      </c>
      <c r="AL34" s="312">
        <f>AL9+AL28</f>
        <v>51959.4</v>
      </c>
      <c r="AM34" s="313">
        <f>AM9+AM28</f>
        <v>12852.699999999999</v>
      </c>
      <c r="AN34" s="313">
        <f>AN9+AN28</f>
        <v>19291.399999999998</v>
      </c>
      <c r="AO34" s="281">
        <f>AN34-'[1]01.09.19'!AI34</f>
        <v>1706.0999999999985</v>
      </c>
      <c r="AP34" s="280">
        <f>AN34-AM34</f>
        <v>6438.699999999999</v>
      </c>
      <c r="AQ34" s="282">
        <f>AN34/AM34%</f>
        <v>150.09608875956025</v>
      </c>
      <c r="AR34" s="363">
        <f t="shared" si="26"/>
        <v>37.12783442456995</v>
      </c>
      <c r="AS34" s="312">
        <f>AS9+AS28</f>
        <v>13249.599999999999</v>
      </c>
      <c r="AT34" s="313">
        <f>AT9+AT28</f>
        <v>9868.3</v>
      </c>
      <c r="AU34" s="313">
        <f>AU9+AU28</f>
        <v>10164.5</v>
      </c>
      <c r="AV34" s="281">
        <f>AU34-'[1]01.09.19'!AO34</f>
        <v>951</v>
      </c>
      <c r="AW34" s="280">
        <f>AU34-AT34</f>
        <v>296.2000000000007</v>
      </c>
      <c r="AX34" s="282">
        <f t="shared" si="39"/>
        <v>103.0015301521032</v>
      </c>
      <c r="AY34" s="363">
        <f t="shared" si="27"/>
        <v>76.71552348750151</v>
      </c>
      <c r="AZ34" s="312">
        <f>AZ9+AZ28</f>
        <v>14201</v>
      </c>
      <c r="BA34" s="313">
        <f>BA9+BA28</f>
        <v>11663.199999999999</v>
      </c>
      <c r="BB34" s="313">
        <f>BB9+BB28</f>
        <v>11028.1</v>
      </c>
      <c r="BC34" s="281">
        <f>BB34-'[1]01.09.19'!AU34</f>
        <v>1358.3999999999996</v>
      </c>
      <c r="BD34" s="280">
        <f>BB34-BA34</f>
        <v>-635.0999999999985</v>
      </c>
      <c r="BE34" s="282">
        <f>BB34/BA34%</f>
        <v>94.5546676726799</v>
      </c>
      <c r="BF34" s="363">
        <f t="shared" si="28"/>
        <v>77.65720723892684</v>
      </c>
      <c r="BG34" s="312">
        <f>BG9+BG28</f>
        <v>14589.199999999999</v>
      </c>
      <c r="BH34" s="313">
        <f>BH9+BH28</f>
        <v>11706.6</v>
      </c>
      <c r="BI34" s="313">
        <f>BI9+BI28</f>
        <v>13295.600000000002</v>
      </c>
      <c r="BJ34" s="281">
        <f>BI34-'[1]01.09.19'!BA34</f>
        <v>3016.500000000002</v>
      </c>
      <c r="BK34" s="280">
        <f>BI34-BH34</f>
        <v>1589.0000000000018</v>
      </c>
      <c r="BL34" s="282">
        <f>BI34/BH34%</f>
        <v>113.57353971264075</v>
      </c>
      <c r="BM34" s="363">
        <f t="shared" si="29"/>
        <v>91.13316700024677</v>
      </c>
      <c r="BN34" s="312">
        <f>BN9+BN28</f>
        <v>8857</v>
      </c>
      <c r="BO34" s="313">
        <f>BO9+BO28</f>
        <v>6810.5</v>
      </c>
      <c r="BP34" s="313">
        <f>BP9+BP28</f>
        <v>6296.700000000001</v>
      </c>
      <c r="BQ34" s="281">
        <f>BP34-'[1]01.09.19'!BG34</f>
        <v>956.1000000000004</v>
      </c>
      <c r="BR34" s="280">
        <f>BP34-BO34</f>
        <v>-513.7999999999993</v>
      </c>
      <c r="BS34" s="282">
        <f>BP34/BO34%</f>
        <v>92.45576683062919</v>
      </c>
      <c r="BT34" s="363">
        <f t="shared" si="30"/>
        <v>71.09292085356216</v>
      </c>
      <c r="BU34" s="312">
        <f>BU9+BU28</f>
        <v>85342.5</v>
      </c>
      <c r="BV34" s="313">
        <f>BV9+BV28</f>
        <v>24347.8</v>
      </c>
      <c r="BW34" s="313">
        <f>BW9+BW28</f>
        <v>23063.800000000003</v>
      </c>
      <c r="BX34" s="281">
        <f>BW34-'[1]01.09.19'!BM34</f>
        <v>2119.600000000006</v>
      </c>
      <c r="BY34" s="280">
        <f>BW34-BV34</f>
        <v>-1283.9999999999964</v>
      </c>
      <c r="BZ34" s="282">
        <f>BW34/BV34%</f>
        <v>94.72642292116744</v>
      </c>
      <c r="CA34" s="363">
        <f t="shared" si="31"/>
        <v>27.024987550165516</v>
      </c>
      <c r="CB34" s="312">
        <f>CB9+CB28</f>
        <v>56486.9</v>
      </c>
      <c r="CC34" s="313">
        <f>CC9+CC28</f>
        <v>26075.699999999997</v>
      </c>
      <c r="CD34" s="313">
        <f>CD9+CD28</f>
        <v>28339.6</v>
      </c>
      <c r="CE34" s="281">
        <f>CD34-'[1]01.09.19'!BS34</f>
        <v>2688.5</v>
      </c>
      <c r="CF34" s="280">
        <f>CD34-CC34</f>
        <v>2263.9000000000015</v>
      </c>
      <c r="CG34" s="282">
        <f>CD34/CC34%</f>
        <v>108.68202962911832</v>
      </c>
      <c r="CH34" s="363">
        <f t="shared" si="33"/>
        <v>50.17021645726708</v>
      </c>
      <c r="CI34" s="313">
        <f t="shared" si="38"/>
        <v>823855.7000000001</v>
      </c>
      <c r="CJ34" s="313">
        <f t="shared" si="38"/>
        <v>410963.10000000003</v>
      </c>
      <c r="CK34" s="313">
        <f t="shared" si="38"/>
        <v>408944.29999999993</v>
      </c>
      <c r="CL34" s="280">
        <f>CK34-CJ34</f>
        <v>-2018.8000000001048</v>
      </c>
      <c r="CM34" s="280">
        <f t="shared" si="35"/>
        <v>99.50876368218945</v>
      </c>
      <c r="CN34" s="364">
        <f t="shared" si="36"/>
        <v>49.63785527004303</v>
      </c>
      <c r="CO34" s="314"/>
      <c r="CP34" s="314"/>
    </row>
    <row r="35" spans="3:94" ht="12.7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</row>
    <row r="36" spans="3:94" ht="12.7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</row>
    <row r="37" spans="3:94" ht="12.75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</row>
    <row r="38" spans="3:94" ht="12.7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</row>
    <row r="39" spans="3:94" ht="1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365"/>
      <c r="CK39" s="140"/>
      <c r="CL39" s="140"/>
      <c r="CM39" s="140"/>
      <c r="CN39" s="140"/>
      <c r="CO39" s="140"/>
      <c r="CP39" s="140"/>
    </row>
    <row r="40" spans="3:94" ht="12.7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</row>
    <row r="41" spans="3:94" ht="12.7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</row>
    <row r="42" spans="3:94" ht="12.7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</row>
    <row r="43" ht="12.75">
      <c r="CJ43" s="366"/>
    </row>
    <row r="44" ht="12.75">
      <c r="CJ44" s="366"/>
    </row>
  </sheetData>
  <sheetProtection/>
  <mergeCells count="40">
    <mergeCell ref="BV7:BW7"/>
    <mergeCell ref="BY7:BZ7"/>
    <mergeCell ref="CC7:CD7"/>
    <mergeCell ref="CF7:CG7"/>
    <mergeCell ref="CJ7:CK7"/>
    <mergeCell ref="CL7:CM7"/>
    <mergeCell ref="AF7:AG7"/>
    <mergeCell ref="AI7:AJ7"/>
    <mergeCell ref="AM7:AN7"/>
    <mergeCell ref="AW7:AX7"/>
    <mergeCell ref="BA7:BB7"/>
    <mergeCell ref="BD7:BE7"/>
    <mergeCell ref="BG6:BL6"/>
    <mergeCell ref="BN6:BS6"/>
    <mergeCell ref="BU6:BZ6"/>
    <mergeCell ref="CB6:CG6"/>
    <mergeCell ref="CI6:CM6"/>
    <mergeCell ref="G7:H7"/>
    <mergeCell ref="K7:L7"/>
    <mergeCell ref="N7:O7"/>
    <mergeCell ref="U7:V7"/>
    <mergeCell ref="Y7:Z7"/>
    <mergeCell ref="D3:S3"/>
    <mergeCell ref="C6:I6"/>
    <mergeCell ref="J6:O6"/>
    <mergeCell ref="Q6:V6"/>
    <mergeCell ref="X6:AC6"/>
    <mergeCell ref="AE6:AJ6"/>
    <mergeCell ref="BH7:BI7"/>
    <mergeCell ref="BR7:BS7"/>
    <mergeCell ref="BK7:BL7"/>
    <mergeCell ref="BO7:BP7"/>
    <mergeCell ref="AP7:AQ7"/>
    <mergeCell ref="AT7:AU7"/>
    <mergeCell ref="D7:E7"/>
    <mergeCell ref="R7:S7"/>
    <mergeCell ref="AL6:AQ6"/>
    <mergeCell ref="AS6:AX6"/>
    <mergeCell ref="AZ6:BE6"/>
    <mergeCell ref="AB7:AC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41" sqref="A41:IV44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4" t="s">
        <v>84</v>
      </c>
      <c r="B1" s="316"/>
      <c r="C1" s="145"/>
      <c r="D1" s="145"/>
      <c r="E1" s="145"/>
      <c r="F1" s="145"/>
      <c r="G1" s="146"/>
      <c r="H1" s="146"/>
      <c r="I1" s="146"/>
      <c r="J1" s="146"/>
      <c r="K1" s="146"/>
      <c r="L1" s="146"/>
    </row>
    <row r="2" spans="1:12" ht="15.75">
      <c r="A2" s="147" t="s">
        <v>157</v>
      </c>
      <c r="B2" s="316"/>
      <c r="C2" s="145"/>
      <c r="D2" s="145"/>
      <c r="E2" s="145"/>
      <c r="F2" s="145"/>
      <c r="G2" s="146"/>
      <c r="H2" s="146"/>
      <c r="I2" s="146"/>
      <c r="J2" s="146"/>
      <c r="K2" s="146"/>
      <c r="L2" s="146"/>
    </row>
    <row r="3" spans="1:12" ht="16.5" thickBot="1">
      <c r="A3" s="317"/>
      <c r="B3" s="318"/>
      <c r="C3" s="471"/>
      <c r="D3" s="471"/>
      <c r="E3" s="471"/>
      <c r="F3" s="471"/>
      <c r="G3" s="331"/>
      <c r="H3" s="331"/>
      <c r="I3" s="148"/>
      <c r="J3" s="148"/>
      <c r="K3" s="331"/>
      <c r="L3" s="149" t="s">
        <v>85</v>
      </c>
    </row>
    <row r="4" spans="1:14" ht="15">
      <c r="A4" s="150"/>
      <c r="B4" s="319" t="s">
        <v>118</v>
      </c>
      <c r="C4" s="472" t="s">
        <v>119</v>
      </c>
      <c r="D4" s="473"/>
      <c r="E4" s="473"/>
      <c r="F4" s="474"/>
      <c r="G4" s="478" t="s">
        <v>86</v>
      </c>
      <c r="H4" s="479"/>
      <c r="I4" s="479"/>
      <c r="J4" s="480"/>
      <c r="K4" s="484" t="s">
        <v>87</v>
      </c>
      <c r="L4" s="485"/>
      <c r="M4" s="485"/>
      <c r="N4" s="486"/>
    </row>
    <row r="5" spans="1:14" ht="15">
      <c r="A5" s="151" t="s">
        <v>0</v>
      </c>
      <c r="B5" s="151" t="s">
        <v>120</v>
      </c>
      <c r="C5" s="475"/>
      <c r="D5" s="476"/>
      <c r="E5" s="476"/>
      <c r="F5" s="477"/>
      <c r="G5" s="481"/>
      <c r="H5" s="482"/>
      <c r="I5" s="482"/>
      <c r="J5" s="483"/>
      <c r="K5" s="487"/>
      <c r="L5" s="488"/>
      <c r="M5" s="488"/>
      <c r="N5" s="489"/>
    </row>
    <row r="6" spans="1:14" ht="15">
      <c r="A6" s="151"/>
      <c r="B6" s="151"/>
      <c r="C6" s="152" t="s">
        <v>88</v>
      </c>
      <c r="D6" s="153" t="s">
        <v>89</v>
      </c>
      <c r="E6" s="490" t="s">
        <v>90</v>
      </c>
      <c r="F6" s="491"/>
      <c r="G6" s="152" t="s">
        <v>88</v>
      </c>
      <c r="H6" s="154" t="s">
        <v>89</v>
      </c>
      <c r="I6" s="490" t="s">
        <v>90</v>
      </c>
      <c r="J6" s="491"/>
      <c r="K6" s="152" t="s">
        <v>88</v>
      </c>
      <c r="L6" s="153" t="s">
        <v>89</v>
      </c>
      <c r="M6" s="492" t="s">
        <v>90</v>
      </c>
      <c r="N6" s="493"/>
    </row>
    <row r="7" spans="1:14" ht="12.75">
      <c r="A7" s="155"/>
      <c r="B7" s="155" t="s">
        <v>121</v>
      </c>
      <c r="C7" s="156" t="s">
        <v>91</v>
      </c>
      <c r="D7" s="157"/>
      <c r="E7" s="155" t="s">
        <v>19</v>
      </c>
      <c r="F7" s="158" t="s">
        <v>20</v>
      </c>
      <c r="G7" s="156" t="s">
        <v>91</v>
      </c>
      <c r="H7" s="159"/>
      <c r="I7" s="155" t="s">
        <v>19</v>
      </c>
      <c r="J7" s="158" t="s">
        <v>20</v>
      </c>
      <c r="K7" s="156" t="s">
        <v>91</v>
      </c>
      <c r="L7" s="157"/>
      <c r="M7" s="160" t="s">
        <v>19</v>
      </c>
      <c r="N7" s="161" t="s">
        <v>20</v>
      </c>
    </row>
    <row r="8" spans="1:14" ht="15.75">
      <c r="A8" s="278" t="s">
        <v>92</v>
      </c>
      <c r="B8" s="320" t="s">
        <v>122</v>
      </c>
      <c r="C8" s="162">
        <f>G8+K8</f>
        <v>671207.5</v>
      </c>
      <c r="D8" s="163">
        <f aca="true" t="shared" si="0" ref="C8:D24">H8+L8</f>
        <v>441261.7</v>
      </c>
      <c r="E8" s="163">
        <f aca="true" t="shared" si="1" ref="E8:E19">D8-C8</f>
        <v>-229945.8</v>
      </c>
      <c r="F8" s="164">
        <f aca="true" t="shared" si="2" ref="F8:F17">D8/C8%</f>
        <v>65.74147338937661</v>
      </c>
      <c r="G8" s="165">
        <f>SUM(G9:G19)+G26+G27+G28+G31+G32</f>
        <v>506632.00000000006</v>
      </c>
      <c r="H8" s="163">
        <f>SUM(H9:H19)+H26+H27+H28+H31+H32</f>
        <v>340393.8</v>
      </c>
      <c r="I8" s="163">
        <f>H8-G8</f>
        <v>-166238.20000000007</v>
      </c>
      <c r="J8" s="166">
        <f>H8/G8%</f>
        <v>67.1875838873186</v>
      </c>
      <c r="K8" s="165">
        <f>SUM(K9:K19)+K26+K27+K28+K31+K32</f>
        <v>164575.5</v>
      </c>
      <c r="L8" s="163">
        <f>SUM(L9:L19)+L26+L27+L28+L31+L32</f>
        <v>100867.90000000001</v>
      </c>
      <c r="M8" s="163">
        <f>L8-K8</f>
        <v>-63707.59999999999</v>
      </c>
      <c r="N8" s="164">
        <f>L8/K8%</f>
        <v>61.28974239786603</v>
      </c>
    </row>
    <row r="9" spans="1:14" ht="15">
      <c r="A9" s="167" t="s">
        <v>63</v>
      </c>
      <c r="B9" s="321" t="s">
        <v>123</v>
      </c>
      <c r="C9" s="168">
        <f t="shared" si="0"/>
        <v>458590.2</v>
      </c>
      <c r="D9" s="169">
        <f t="shared" si="0"/>
        <v>291570.6</v>
      </c>
      <c r="E9" s="169">
        <f t="shared" si="1"/>
        <v>-167019.60000000003</v>
      </c>
      <c r="F9" s="170">
        <f t="shared" si="2"/>
        <v>63.579771220579936</v>
      </c>
      <c r="G9" s="171">
        <v>377761.2</v>
      </c>
      <c r="H9" s="172">
        <v>241779.9</v>
      </c>
      <c r="I9" s="173">
        <f aca="true" t="shared" si="3" ref="I9:I39">H9-G9</f>
        <v>-135981.30000000002</v>
      </c>
      <c r="J9" s="174">
        <f aca="true" t="shared" si="4" ref="J9:J39">H9/G9%</f>
        <v>64.00337038319446</v>
      </c>
      <c r="K9" s="171">
        <v>80829</v>
      </c>
      <c r="L9" s="332">
        <v>49790.7</v>
      </c>
      <c r="M9" s="173">
        <f aca="true" t="shared" si="5" ref="M9:M39">L9-K9</f>
        <v>-31038.300000000003</v>
      </c>
      <c r="N9" s="174">
        <f aca="true" t="shared" si="6" ref="N9:N39">L9/K9%</f>
        <v>61.6000445384701</v>
      </c>
    </row>
    <row r="10" spans="1:14" ht="15">
      <c r="A10" s="167" t="s">
        <v>64</v>
      </c>
      <c r="B10" s="321"/>
      <c r="C10" s="168">
        <f t="shared" si="0"/>
        <v>37372.6</v>
      </c>
      <c r="D10" s="169">
        <f t="shared" si="0"/>
        <v>24127.3</v>
      </c>
      <c r="E10" s="169">
        <f t="shared" si="1"/>
        <v>-13245.3</v>
      </c>
      <c r="F10" s="170">
        <f t="shared" si="2"/>
        <v>64.55879441087856</v>
      </c>
      <c r="G10" s="171">
        <v>33875.2</v>
      </c>
      <c r="H10" s="172">
        <v>21807.6</v>
      </c>
      <c r="I10" s="173">
        <f t="shared" si="3"/>
        <v>-12067.599999999999</v>
      </c>
      <c r="J10" s="174">
        <f t="shared" si="4"/>
        <v>64.37629888532024</v>
      </c>
      <c r="K10" s="171">
        <v>3497.4</v>
      </c>
      <c r="L10" s="332">
        <v>2319.7</v>
      </c>
      <c r="M10" s="173">
        <f t="shared" si="5"/>
        <v>-1177.7000000000003</v>
      </c>
      <c r="N10" s="174">
        <f t="shared" si="6"/>
        <v>66.3264139074741</v>
      </c>
    </row>
    <row r="11" spans="1:14" ht="25.5" hidden="1">
      <c r="A11" s="175" t="s">
        <v>24</v>
      </c>
      <c r="B11" s="321" t="s">
        <v>124</v>
      </c>
      <c r="C11" s="168">
        <f t="shared" si="0"/>
        <v>0</v>
      </c>
      <c r="D11" s="169">
        <f t="shared" si="0"/>
        <v>0</v>
      </c>
      <c r="E11" s="169">
        <f t="shared" si="1"/>
        <v>0</v>
      </c>
      <c r="F11" s="170" t="e">
        <f t="shared" si="2"/>
        <v>#DIV/0!</v>
      </c>
      <c r="G11" s="171"/>
      <c r="H11" s="172"/>
      <c r="I11" s="173">
        <f t="shared" si="3"/>
        <v>0</v>
      </c>
      <c r="J11" s="174" t="e">
        <f t="shared" si="4"/>
        <v>#DIV/0!</v>
      </c>
      <c r="K11" s="171"/>
      <c r="L11" s="332"/>
      <c r="M11" s="173">
        <f t="shared" si="5"/>
        <v>0</v>
      </c>
      <c r="N11" s="174" t="e">
        <f t="shared" si="6"/>
        <v>#DIV/0!</v>
      </c>
    </row>
    <row r="12" spans="1:14" ht="25.5">
      <c r="A12" s="175" t="s">
        <v>25</v>
      </c>
      <c r="B12" s="321" t="s">
        <v>125</v>
      </c>
      <c r="C12" s="168">
        <f t="shared" si="0"/>
        <v>18899.9</v>
      </c>
      <c r="D12" s="169">
        <f t="shared" si="0"/>
        <v>15623.5</v>
      </c>
      <c r="E12" s="169">
        <f t="shared" si="1"/>
        <v>-3276.4000000000015</v>
      </c>
      <c r="F12" s="170">
        <f t="shared" si="2"/>
        <v>82.66445854210868</v>
      </c>
      <c r="G12" s="171">
        <v>18899.9</v>
      </c>
      <c r="H12" s="172">
        <v>15623.5</v>
      </c>
      <c r="I12" s="173">
        <f t="shared" si="3"/>
        <v>-3276.4000000000015</v>
      </c>
      <c r="J12" s="174">
        <f t="shared" si="4"/>
        <v>82.66445854210868</v>
      </c>
      <c r="K12" s="171"/>
      <c r="L12" s="332"/>
      <c r="M12" s="173">
        <f t="shared" si="5"/>
        <v>0</v>
      </c>
      <c r="N12" s="174"/>
    </row>
    <row r="13" spans="1:14" ht="15">
      <c r="A13" s="175" t="s">
        <v>26</v>
      </c>
      <c r="B13" s="321" t="s">
        <v>126</v>
      </c>
      <c r="C13" s="168">
        <f t="shared" si="0"/>
        <v>13321.7</v>
      </c>
      <c r="D13" s="169">
        <f t="shared" si="0"/>
        <v>14279.099999999999</v>
      </c>
      <c r="E13" s="169">
        <f t="shared" si="1"/>
        <v>957.3999999999978</v>
      </c>
      <c r="F13" s="170">
        <f t="shared" si="2"/>
        <v>107.1867704572239</v>
      </c>
      <c r="G13" s="171">
        <v>8127.7</v>
      </c>
      <c r="H13" s="172">
        <v>8314.3</v>
      </c>
      <c r="I13" s="173">
        <f t="shared" si="3"/>
        <v>186.59999999999945</v>
      </c>
      <c r="J13" s="174">
        <f t="shared" si="4"/>
        <v>102.29585245518412</v>
      </c>
      <c r="K13" s="171">
        <v>5194</v>
      </c>
      <c r="L13" s="332">
        <v>5964.8</v>
      </c>
      <c r="M13" s="173">
        <f t="shared" si="5"/>
        <v>770.8000000000002</v>
      </c>
      <c r="N13" s="174">
        <f t="shared" si="6"/>
        <v>114.84020023103582</v>
      </c>
    </row>
    <row r="14" spans="1:14" ht="25.5">
      <c r="A14" s="175" t="s">
        <v>28</v>
      </c>
      <c r="B14" s="321"/>
      <c r="C14" s="168">
        <f t="shared" si="0"/>
        <v>1700</v>
      </c>
      <c r="D14" s="169">
        <f t="shared" si="0"/>
        <v>1734.2</v>
      </c>
      <c r="E14" s="169"/>
      <c r="F14" s="170"/>
      <c r="G14" s="171">
        <v>1700</v>
      </c>
      <c r="H14" s="172">
        <v>1734.2</v>
      </c>
      <c r="I14" s="173">
        <f t="shared" si="3"/>
        <v>34.200000000000045</v>
      </c>
      <c r="J14" s="174">
        <f t="shared" si="4"/>
        <v>102.01176470588236</v>
      </c>
      <c r="K14" s="171"/>
      <c r="L14" s="332"/>
      <c r="M14" s="173">
        <f t="shared" si="5"/>
        <v>0</v>
      </c>
      <c r="N14" s="174"/>
    </row>
    <row r="15" spans="1:14" ht="15">
      <c r="A15" s="175" t="s">
        <v>65</v>
      </c>
      <c r="B15" s="322" t="s">
        <v>127</v>
      </c>
      <c r="C15" s="168">
        <f t="shared" si="0"/>
        <v>5401.8</v>
      </c>
      <c r="D15" s="169">
        <f t="shared" si="0"/>
        <v>2308.8</v>
      </c>
      <c r="E15" s="169">
        <f t="shared" si="1"/>
        <v>-3093</v>
      </c>
      <c r="F15" s="170">
        <f t="shared" si="2"/>
        <v>42.74130845273798</v>
      </c>
      <c r="G15" s="171"/>
      <c r="H15" s="172"/>
      <c r="I15" s="173">
        <f t="shared" si="3"/>
        <v>0</v>
      </c>
      <c r="J15" s="174"/>
      <c r="K15" s="171">
        <v>5401.8</v>
      </c>
      <c r="L15" s="332">
        <v>2308.8</v>
      </c>
      <c r="M15" s="173">
        <f t="shared" si="5"/>
        <v>-3093</v>
      </c>
      <c r="N15" s="174">
        <f t="shared" si="6"/>
        <v>42.74130845273798</v>
      </c>
    </row>
    <row r="16" spans="1:14" ht="15">
      <c r="A16" s="176" t="s">
        <v>66</v>
      </c>
      <c r="B16" s="322" t="s">
        <v>128</v>
      </c>
      <c r="C16" s="168">
        <f t="shared" si="0"/>
        <v>54386.1</v>
      </c>
      <c r="D16" s="169">
        <f t="shared" si="0"/>
        <v>28413</v>
      </c>
      <c r="E16" s="169">
        <f t="shared" si="1"/>
        <v>-25973.1</v>
      </c>
      <c r="F16" s="170">
        <f t="shared" si="2"/>
        <v>52.243128299326486</v>
      </c>
      <c r="G16" s="171"/>
      <c r="H16" s="172"/>
      <c r="I16" s="173">
        <f t="shared" si="3"/>
        <v>0</v>
      </c>
      <c r="J16" s="174"/>
      <c r="K16" s="171">
        <v>54386.1</v>
      </c>
      <c r="L16" s="332">
        <v>28413</v>
      </c>
      <c r="M16" s="173">
        <f t="shared" si="5"/>
        <v>-25973.1</v>
      </c>
      <c r="N16" s="174">
        <f t="shared" si="6"/>
        <v>52.243128299326486</v>
      </c>
    </row>
    <row r="17" spans="1:14" ht="15">
      <c r="A17" s="177" t="s">
        <v>93</v>
      </c>
      <c r="B17" s="323" t="s">
        <v>129</v>
      </c>
      <c r="C17" s="168">
        <f t="shared" si="0"/>
        <v>16735.1</v>
      </c>
      <c r="D17" s="169">
        <f t="shared" si="0"/>
        <v>11511.9</v>
      </c>
      <c r="E17" s="169">
        <f t="shared" si="1"/>
        <v>-5223.199999999999</v>
      </c>
      <c r="F17" s="170">
        <f t="shared" si="2"/>
        <v>68.78895256078542</v>
      </c>
      <c r="G17" s="171">
        <v>16165.3</v>
      </c>
      <c r="H17" s="172">
        <v>11123</v>
      </c>
      <c r="I17" s="173">
        <f t="shared" si="3"/>
        <v>-5042.299999999999</v>
      </c>
      <c r="J17" s="174">
        <f t="shared" si="4"/>
        <v>68.80787860417067</v>
      </c>
      <c r="K17" s="178">
        <v>569.8</v>
      </c>
      <c r="L17" s="332">
        <v>388.9</v>
      </c>
      <c r="M17" s="173">
        <f t="shared" si="5"/>
        <v>-180.89999999999998</v>
      </c>
      <c r="N17" s="174">
        <f t="shared" si="6"/>
        <v>68.25201825201826</v>
      </c>
    </row>
    <row r="18" spans="1:14" ht="15">
      <c r="A18" s="175" t="s">
        <v>94</v>
      </c>
      <c r="B18" s="323" t="s">
        <v>130</v>
      </c>
      <c r="C18" s="168">
        <f t="shared" si="0"/>
        <v>0</v>
      </c>
      <c r="D18" s="169">
        <f t="shared" si="0"/>
        <v>0</v>
      </c>
      <c r="E18" s="169">
        <f t="shared" si="1"/>
        <v>0</v>
      </c>
      <c r="F18" s="170"/>
      <c r="G18" s="171"/>
      <c r="H18" s="179"/>
      <c r="I18" s="173"/>
      <c r="J18" s="174"/>
      <c r="K18" s="178"/>
      <c r="L18" s="173"/>
      <c r="M18" s="173">
        <f t="shared" si="5"/>
        <v>0</v>
      </c>
      <c r="N18" s="174"/>
    </row>
    <row r="19" spans="1:14" ht="38.25">
      <c r="A19" s="180" t="s">
        <v>95</v>
      </c>
      <c r="B19" s="324" t="s">
        <v>131</v>
      </c>
      <c r="C19" s="168">
        <f>G19+K19-16.1</f>
        <v>37332.2</v>
      </c>
      <c r="D19" s="169">
        <f t="shared" si="0"/>
        <v>22394.7</v>
      </c>
      <c r="E19" s="169">
        <f t="shared" si="1"/>
        <v>-14937.499999999996</v>
      </c>
      <c r="F19" s="170">
        <f>D19/C19%</f>
        <v>59.98762462431896</v>
      </c>
      <c r="G19" s="181">
        <f>SUM(G20:G25)</f>
        <v>26811.1</v>
      </c>
      <c r="H19" s="173">
        <f>SUM(H20:H25)</f>
        <v>15365.6</v>
      </c>
      <c r="I19" s="173">
        <f t="shared" si="3"/>
        <v>-11445.499999999998</v>
      </c>
      <c r="J19" s="174">
        <f t="shared" si="4"/>
        <v>57.310591508740785</v>
      </c>
      <c r="K19" s="171">
        <f>SUM(K20:K25)</f>
        <v>10537.199999999999</v>
      </c>
      <c r="L19" s="173">
        <f>SUM(L20:L25)</f>
        <v>7029.099999999999</v>
      </c>
      <c r="M19" s="173">
        <f t="shared" si="5"/>
        <v>-3508.0999999999995</v>
      </c>
      <c r="N19" s="174">
        <f t="shared" si="6"/>
        <v>66.70747447139658</v>
      </c>
    </row>
    <row r="20" spans="1:14" ht="25.5" hidden="1">
      <c r="A20" s="182" t="s">
        <v>34</v>
      </c>
      <c r="B20" s="325"/>
      <c r="C20" s="183">
        <f t="shared" si="0"/>
        <v>0</v>
      </c>
      <c r="D20" s="184">
        <f t="shared" si="0"/>
        <v>0</v>
      </c>
      <c r="E20" s="184"/>
      <c r="F20" s="185"/>
      <c r="G20" s="183"/>
      <c r="H20" s="186"/>
      <c r="I20" s="184">
        <f t="shared" si="3"/>
        <v>0</v>
      </c>
      <c r="J20" s="185"/>
      <c r="K20" s="183"/>
      <c r="L20" s="184"/>
      <c r="M20" s="184">
        <f t="shared" si="5"/>
        <v>0</v>
      </c>
      <c r="N20" s="185"/>
    </row>
    <row r="21" spans="1:14" ht="25.5">
      <c r="A21" s="182" t="s">
        <v>115</v>
      </c>
      <c r="B21" s="325"/>
      <c r="C21" s="183"/>
      <c r="D21" s="184"/>
      <c r="E21" s="184"/>
      <c r="F21" s="185"/>
      <c r="G21" s="183"/>
      <c r="H21" s="186"/>
      <c r="I21" s="184"/>
      <c r="J21" s="185"/>
      <c r="K21" s="183"/>
      <c r="L21" s="184"/>
      <c r="M21" s="184"/>
      <c r="N21" s="185"/>
    </row>
    <row r="22" spans="1:14" ht="15">
      <c r="A22" s="182" t="s">
        <v>96</v>
      </c>
      <c r="B22" s="326" t="s">
        <v>132</v>
      </c>
      <c r="C22" s="183">
        <f t="shared" si="0"/>
        <v>25972.4</v>
      </c>
      <c r="D22" s="184">
        <f t="shared" si="0"/>
        <v>15302.1</v>
      </c>
      <c r="E22" s="184">
        <f aca="true" t="shared" si="7" ref="E22:E38">D22-C22</f>
        <v>-10670.300000000001</v>
      </c>
      <c r="F22" s="185">
        <f aca="true" t="shared" si="8" ref="F22:F31">D22/C22%</f>
        <v>58.9167731900017</v>
      </c>
      <c r="G22" s="183">
        <v>19525.8</v>
      </c>
      <c r="H22" s="186">
        <v>10611.7</v>
      </c>
      <c r="I22" s="184">
        <f t="shared" si="3"/>
        <v>-8914.099999999999</v>
      </c>
      <c r="J22" s="185">
        <f t="shared" si="4"/>
        <v>54.347069006135484</v>
      </c>
      <c r="K22" s="183">
        <v>6446.6</v>
      </c>
      <c r="L22" s="184">
        <v>4690.4</v>
      </c>
      <c r="M22" s="184">
        <f t="shared" si="5"/>
        <v>-1756.2000000000007</v>
      </c>
      <c r="N22" s="185">
        <f t="shared" si="6"/>
        <v>72.75773275835323</v>
      </c>
    </row>
    <row r="23" spans="1:14" ht="15">
      <c r="A23" s="187" t="s">
        <v>36</v>
      </c>
      <c r="B23" s="326" t="s">
        <v>133</v>
      </c>
      <c r="C23" s="183">
        <f t="shared" si="0"/>
        <v>9051.7</v>
      </c>
      <c r="D23" s="184">
        <f t="shared" si="0"/>
        <v>5398.200000000001</v>
      </c>
      <c r="E23" s="184">
        <f t="shared" si="7"/>
        <v>-3653.5</v>
      </c>
      <c r="F23" s="185">
        <f t="shared" si="8"/>
        <v>59.63741617596695</v>
      </c>
      <c r="G23" s="183">
        <v>6959.5</v>
      </c>
      <c r="H23" s="186">
        <v>4185.1</v>
      </c>
      <c r="I23" s="184">
        <f t="shared" si="3"/>
        <v>-2774.3999999999996</v>
      </c>
      <c r="J23" s="185">
        <f t="shared" si="4"/>
        <v>60.13506717436598</v>
      </c>
      <c r="K23" s="183">
        <v>2092.2</v>
      </c>
      <c r="L23" s="184">
        <v>1213.1</v>
      </c>
      <c r="M23" s="184">
        <f t="shared" si="5"/>
        <v>-879.0999999999999</v>
      </c>
      <c r="N23" s="185">
        <f t="shared" si="6"/>
        <v>57.98202848676035</v>
      </c>
    </row>
    <row r="24" spans="1:14" ht="25.5">
      <c r="A24" s="187" t="s">
        <v>97</v>
      </c>
      <c r="B24" s="325" t="s">
        <v>134</v>
      </c>
      <c r="C24" s="183">
        <f t="shared" si="0"/>
        <v>134.3</v>
      </c>
      <c r="D24" s="184">
        <f t="shared" si="0"/>
        <v>262.3</v>
      </c>
      <c r="E24" s="184">
        <f t="shared" si="7"/>
        <v>128</v>
      </c>
      <c r="F24" s="185">
        <f t="shared" si="8"/>
        <v>195.3090096798213</v>
      </c>
      <c r="G24" s="183">
        <v>84.3</v>
      </c>
      <c r="H24" s="186">
        <v>175.9</v>
      </c>
      <c r="I24" s="184">
        <f t="shared" si="3"/>
        <v>91.60000000000001</v>
      </c>
      <c r="J24" s="185">
        <f t="shared" si="4"/>
        <v>208.65954922894426</v>
      </c>
      <c r="K24" s="188">
        <v>50</v>
      </c>
      <c r="L24" s="184">
        <v>86.4</v>
      </c>
      <c r="M24" s="184">
        <f t="shared" si="5"/>
        <v>36.400000000000006</v>
      </c>
      <c r="N24" s="185">
        <f t="shared" si="6"/>
        <v>172.8</v>
      </c>
    </row>
    <row r="25" spans="1:14" ht="25.5">
      <c r="A25" s="189" t="s">
        <v>98</v>
      </c>
      <c r="B25" s="325"/>
      <c r="C25" s="183">
        <f aca="true" t="shared" si="9" ref="C25:D32">G25+K25</f>
        <v>2189.9</v>
      </c>
      <c r="D25" s="184">
        <f t="shared" si="9"/>
        <v>1432.1</v>
      </c>
      <c r="E25" s="184">
        <f>D25-C25</f>
        <v>-757.8000000000002</v>
      </c>
      <c r="F25" s="185">
        <f t="shared" si="8"/>
        <v>65.3956801680442</v>
      </c>
      <c r="G25" s="183">
        <v>241.5</v>
      </c>
      <c r="H25" s="186">
        <v>392.9</v>
      </c>
      <c r="I25" s="184">
        <f t="shared" si="3"/>
        <v>151.39999999999998</v>
      </c>
      <c r="J25" s="185">
        <f t="shared" si="4"/>
        <v>162.69151138716356</v>
      </c>
      <c r="K25" s="190">
        <v>1948.4</v>
      </c>
      <c r="L25" s="184">
        <v>1039.2</v>
      </c>
      <c r="M25" s="184">
        <f t="shared" si="5"/>
        <v>-909.2</v>
      </c>
      <c r="N25" s="185">
        <f t="shared" si="6"/>
        <v>53.33607062204886</v>
      </c>
    </row>
    <row r="26" spans="1:14" ht="25.5">
      <c r="A26" s="175" t="s">
        <v>39</v>
      </c>
      <c r="B26" s="321" t="s">
        <v>135</v>
      </c>
      <c r="C26" s="168">
        <f t="shared" si="9"/>
        <v>2423.5</v>
      </c>
      <c r="D26" s="169">
        <f t="shared" si="9"/>
        <v>1194.2</v>
      </c>
      <c r="E26" s="169">
        <f t="shared" si="7"/>
        <v>-1229.3</v>
      </c>
      <c r="F26" s="170">
        <f t="shared" si="8"/>
        <v>49.275840726222405</v>
      </c>
      <c r="G26" s="171">
        <v>2423.5</v>
      </c>
      <c r="H26" s="179">
        <v>1194.2</v>
      </c>
      <c r="I26" s="173">
        <f t="shared" si="3"/>
        <v>-1229.3</v>
      </c>
      <c r="J26" s="174">
        <f t="shared" si="4"/>
        <v>49.275840726222405</v>
      </c>
      <c r="K26" s="191"/>
      <c r="L26" s="173"/>
      <c r="M26" s="173">
        <f t="shared" si="5"/>
        <v>0</v>
      </c>
      <c r="N26" s="389"/>
    </row>
    <row r="27" spans="1:14" ht="15">
      <c r="A27" s="175" t="s">
        <v>99</v>
      </c>
      <c r="B27" s="321"/>
      <c r="C27" s="168">
        <f t="shared" si="9"/>
        <v>572.7</v>
      </c>
      <c r="D27" s="169">
        <f t="shared" si="9"/>
        <v>690.4000000000001</v>
      </c>
      <c r="E27" s="169">
        <f t="shared" si="7"/>
        <v>117.70000000000005</v>
      </c>
      <c r="F27" s="170">
        <f t="shared" si="8"/>
        <v>120.55177230661778</v>
      </c>
      <c r="G27" s="171">
        <v>208.2</v>
      </c>
      <c r="H27" s="172">
        <v>324.8</v>
      </c>
      <c r="I27" s="173">
        <f t="shared" si="3"/>
        <v>116.60000000000002</v>
      </c>
      <c r="J27" s="174">
        <f t="shared" si="4"/>
        <v>156.00384245917388</v>
      </c>
      <c r="K27" s="191">
        <v>364.5</v>
      </c>
      <c r="L27" s="173">
        <v>365.6</v>
      </c>
      <c r="M27" s="173">
        <f t="shared" si="5"/>
        <v>1.1000000000000227</v>
      </c>
      <c r="N27" s="389">
        <f t="shared" si="6"/>
        <v>100.30178326474623</v>
      </c>
    </row>
    <row r="28" spans="1:14" ht="25.5">
      <c r="A28" s="192" t="s">
        <v>42</v>
      </c>
      <c r="B28" s="323" t="s">
        <v>136</v>
      </c>
      <c r="C28" s="168">
        <f t="shared" si="9"/>
        <v>17214.1</v>
      </c>
      <c r="D28" s="169">
        <f t="shared" si="9"/>
        <v>17956.1</v>
      </c>
      <c r="E28" s="169">
        <f t="shared" si="7"/>
        <v>742</v>
      </c>
      <c r="F28" s="170">
        <f t="shared" si="8"/>
        <v>104.31041994643925</v>
      </c>
      <c r="G28" s="181">
        <f>SUM(G29:G30)</f>
        <v>14041.5</v>
      </c>
      <c r="H28" s="173">
        <f>SUM(H29:H30)</f>
        <v>14618</v>
      </c>
      <c r="I28" s="173">
        <f t="shared" si="3"/>
        <v>576.5</v>
      </c>
      <c r="J28" s="174"/>
      <c r="K28" s="181">
        <f>SUM(K29:K30)</f>
        <v>3172.6</v>
      </c>
      <c r="L28" s="173">
        <f>SUM(L29:L30)</f>
        <v>3338.1</v>
      </c>
      <c r="M28" s="173">
        <f t="shared" si="5"/>
        <v>165.5</v>
      </c>
      <c r="N28" s="389">
        <f t="shared" si="6"/>
        <v>105.21654163777343</v>
      </c>
    </row>
    <row r="29" spans="1:14" ht="15">
      <c r="A29" s="193" t="s">
        <v>43</v>
      </c>
      <c r="B29" s="327" t="s">
        <v>137</v>
      </c>
      <c r="C29" s="194">
        <f t="shared" si="9"/>
        <v>1544.4</v>
      </c>
      <c r="D29" s="195">
        <f t="shared" si="9"/>
        <v>1131</v>
      </c>
      <c r="E29" s="184">
        <f t="shared" si="7"/>
        <v>-413.4000000000001</v>
      </c>
      <c r="F29" s="185">
        <f t="shared" si="8"/>
        <v>73.23232323232322</v>
      </c>
      <c r="G29" s="194">
        <v>835.5</v>
      </c>
      <c r="H29" s="196">
        <v>358.1</v>
      </c>
      <c r="I29" s="184">
        <f t="shared" si="3"/>
        <v>-477.4</v>
      </c>
      <c r="J29" s="185"/>
      <c r="K29" s="194">
        <v>708.9</v>
      </c>
      <c r="L29" s="195">
        <v>772.9</v>
      </c>
      <c r="M29" s="184">
        <f t="shared" si="5"/>
        <v>64</v>
      </c>
      <c r="N29" s="185">
        <f t="shared" si="6"/>
        <v>109.0280716603188</v>
      </c>
    </row>
    <row r="30" spans="1:14" ht="15">
      <c r="A30" s="193" t="s">
        <v>75</v>
      </c>
      <c r="B30" s="327" t="s">
        <v>138</v>
      </c>
      <c r="C30" s="197">
        <f t="shared" si="9"/>
        <v>15669.7</v>
      </c>
      <c r="D30" s="195">
        <f t="shared" si="9"/>
        <v>16825.1</v>
      </c>
      <c r="E30" s="184">
        <f t="shared" si="7"/>
        <v>1155.3999999999978</v>
      </c>
      <c r="F30" s="185">
        <f t="shared" si="8"/>
        <v>107.37346598850009</v>
      </c>
      <c r="G30" s="194">
        <v>13206</v>
      </c>
      <c r="H30" s="196">
        <v>14259.9</v>
      </c>
      <c r="I30" s="184">
        <f t="shared" si="3"/>
        <v>1053.8999999999996</v>
      </c>
      <c r="J30" s="185"/>
      <c r="K30" s="194">
        <v>2463.7</v>
      </c>
      <c r="L30" s="195">
        <v>2565.2</v>
      </c>
      <c r="M30" s="184">
        <f t="shared" si="5"/>
        <v>101.5</v>
      </c>
      <c r="N30" s="185">
        <f t="shared" si="6"/>
        <v>104.11981978325284</v>
      </c>
    </row>
    <row r="31" spans="1:14" ht="15">
      <c r="A31" s="192" t="s">
        <v>100</v>
      </c>
      <c r="B31" s="323" t="s">
        <v>139</v>
      </c>
      <c r="C31" s="198">
        <f t="shared" si="9"/>
        <v>7241.5</v>
      </c>
      <c r="D31" s="169">
        <f t="shared" si="9"/>
        <v>9457.900000000001</v>
      </c>
      <c r="E31" s="169">
        <f t="shared" si="7"/>
        <v>2216.4000000000015</v>
      </c>
      <c r="F31" s="389">
        <f t="shared" si="8"/>
        <v>130.60691845612098</v>
      </c>
      <c r="G31" s="171">
        <v>6618.4</v>
      </c>
      <c r="H31" s="172">
        <v>8508.7</v>
      </c>
      <c r="I31" s="173">
        <f t="shared" si="3"/>
        <v>1890.300000000001</v>
      </c>
      <c r="J31" s="174">
        <f t="shared" si="4"/>
        <v>128.56128369394418</v>
      </c>
      <c r="K31" s="199">
        <v>623.1</v>
      </c>
      <c r="L31" s="173">
        <v>949.2</v>
      </c>
      <c r="M31" s="173">
        <f t="shared" si="5"/>
        <v>326.1</v>
      </c>
      <c r="N31" s="174">
        <f t="shared" si="6"/>
        <v>152.33509870004815</v>
      </c>
    </row>
    <row r="32" spans="1:14" ht="15">
      <c r="A32" s="177" t="s">
        <v>46</v>
      </c>
      <c r="B32" s="323" t="s">
        <v>140</v>
      </c>
      <c r="C32" s="168">
        <f t="shared" si="9"/>
        <v>0</v>
      </c>
      <c r="D32" s="169">
        <f t="shared" si="9"/>
        <v>0</v>
      </c>
      <c r="E32" s="169">
        <f t="shared" si="7"/>
        <v>0</v>
      </c>
      <c r="F32" s="170"/>
      <c r="G32" s="171"/>
      <c r="H32" s="172"/>
      <c r="I32" s="173">
        <f t="shared" si="3"/>
        <v>0</v>
      </c>
      <c r="J32" s="174"/>
      <c r="K32" s="191"/>
      <c r="L32" s="173"/>
      <c r="M32" s="173">
        <f t="shared" si="5"/>
        <v>0</v>
      </c>
      <c r="N32" s="174"/>
    </row>
    <row r="33" spans="1:14" ht="15.75">
      <c r="A33" s="200" t="s">
        <v>78</v>
      </c>
      <c r="B33" s="328"/>
      <c r="C33" s="201">
        <f>SUM(C34:C38)</f>
        <v>3243200</v>
      </c>
      <c r="D33" s="202">
        <f>SUM(D34:D38)</f>
        <v>2056003</v>
      </c>
      <c r="E33" s="203">
        <f t="shared" si="7"/>
        <v>-1187197</v>
      </c>
      <c r="F33" s="204">
        <f>D33/C33%</f>
        <v>63.3942710902812</v>
      </c>
      <c r="G33" s="201">
        <f>SUM(G34:G38)</f>
        <v>3117575</v>
      </c>
      <c r="H33" s="205">
        <f>SUM(H34:H38)</f>
        <v>1954929</v>
      </c>
      <c r="I33" s="203">
        <f t="shared" si="3"/>
        <v>-1162646</v>
      </c>
      <c r="J33" s="204">
        <f t="shared" si="4"/>
        <v>62.70671916473541</v>
      </c>
      <c r="K33" s="206">
        <f>SUM(K34:K38)</f>
        <v>657987.7</v>
      </c>
      <c r="L33" s="202">
        <f>SUM(L34:L38)</f>
        <v>252310.6</v>
      </c>
      <c r="M33" s="203">
        <f t="shared" si="5"/>
        <v>-405677.1</v>
      </c>
      <c r="N33" s="204">
        <f t="shared" si="6"/>
        <v>38.345792786096155</v>
      </c>
    </row>
    <row r="34" spans="1:14" ht="15">
      <c r="A34" s="119" t="s">
        <v>79</v>
      </c>
      <c r="B34" s="329" t="s">
        <v>141</v>
      </c>
      <c r="C34" s="168">
        <f>G34+K34</f>
        <v>428164.30000000005</v>
      </c>
      <c r="D34" s="169">
        <f>H34+L34</f>
        <v>304635.4</v>
      </c>
      <c r="E34" s="169">
        <f t="shared" si="7"/>
        <v>-123528.90000000002</v>
      </c>
      <c r="F34" s="170">
        <f>D34/C34%</f>
        <v>71.1491826852449</v>
      </c>
      <c r="G34" s="207">
        <v>291460.7</v>
      </c>
      <c r="H34" s="208">
        <v>195117.2</v>
      </c>
      <c r="I34" s="173">
        <f t="shared" si="3"/>
        <v>-96343.5</v>
      </c>
      <c r="J34" s="174">
        <f t="shared" si="4"/>
        <v>66.94460007815806</v>
      </c>
      <c r="K34" s="207">
        <v>136703.6</v>
      </c>
      <c r="L34" s="209">
        <v>109518.2</v>
      </c>
      <c r="M34" s="173">
        <f t="shared" si="5"/>
        <v>-27185.40000000001</v>
      </c>
      <c r="N34" s="174">
        <f t="shared" si="6"/>
        <v>80.11361807589559</v>
      </c>
    </row>
    <row r="35" spans="1:14" ht="15">
      <c r="A35" s="119" t="s">
        <v>101</v>
      </c>
      <c r="B35" s="329" t="s">
        <v>142</v>
      </c>
      <c r="C35" s="168">
        <f>G35+K35</f>
        <v>721253.4</v>
      </c>
      <c r="D35" s="168">
        <f>H35</f>
        <v>220828.8</v>
      </c>
      <c r="E35" s="169">
        <f t="shared" si="7"/>
        <v>-500424.60000000003</v>
      </c>
      <c r="F35" s="170">
        <f>D35/C35%</f>
        <v>30.617366933729528</v>
      </c>
      <c r="G35" s="207">
        <v>718625.4</v>
      </c>
      <c r="H35" s="208">
        <v>220828.8</v>
      </c>
      <c r="I35" s="173">
        <f t="shared" si="3"/>
        <v>-497796.60000000003</v>
      </c>
      <c r="J35" s="174">
        <f t="shared" si="4"/>
        <v>30.72933408699442</v>
      </c>
      <c r="K35" s="207">
        <v>2628</v>
      </c>
      <c r="L35" s="209"/>
      <c r="M35" s="173">
        <f t="shared" si="5"/>
        <v>-2628</v>
      </c>
      <c r="N35" s="174"/>
    </row>
    <row r="36" spans="1:14" ht="15">
      <c r="A36" s="119" t="s">
        <v>102</v>
      </c>
      <c r="B36" s="329" t="s">
        <v>143</v>
      </c>
      <c r="C36" s="168">
        <f>G36+K36</f>
        <v>1847122.4</v>
      </c>
      <c r="D36" s="168">
        <f>H36+L36</f>
        <v>1326295.8</v>
      </c>
      <c r="E36" s="169">
        <f t="shared" si="7"/>
        <v>-520826.59999999986</v>
      </c>
      <c r="F36" s="170">
        <f>D36/C36%</f>
        <v>71.80335206806004</v>
      </c>
      <c r="G36" s="210">
        <v>1844746.5</v>
      </c>
      <c r="H36" s="211">
        <v>1324504.3</v>
      </c>
      <c r="I36" s="173">
        <f t="shared" si="3"/>
        <v>-520242.19999999995</v>
      </c>
      <c r="J36" s="174">
        <f t="shared" si="4"/>
        <v>71.79871597533862</v>
      </c>
      <c r="K36" s="210">
        <v>2375.9</v>
      </c>
      <c r="L36" s="212">
        <v>1791.5</v>
      </c>
      <c r="M36" s="173">
        <f t="shared" si="5"/>
        <v>-584.4000000000001</v>
      </c>
      <c r="N36" s="174">
        <f t="shared" si="6"/>
        <v>75.40300517698556</v>
      </c>
    </row>
    <row r="37" spans="1:14" ht="15">
      <c r="A37" s="213" t="s">
        <v>81</v>
      </c>
      <c r="B37" s="329"/>
      <c r="C37" s="168">
        <v>246325.3</v>
      </c>
      <c r="D37" s="169">
        <v>203908.4</v>
      </c>
      <c r="E37" s="169">
        <f t="shared" si="7"/>
        <v>-42416.899999999994</v>
      </c>
      <c r="F37" s="170">
        <f>D37/C37%</f>
        <v>82.78012855358342</v>
      </c>
      <c r="G37" s="210">
        <v>262742.4</v>
      </c>
      <c r="H37" s="211">
        <v>214478.7</v>
      </c>
      <c r="I37" s="173">
        <f t="shared" si="3"/>
        <v>-48263.70000000001</v>
      </c>
      <c r="J37" s="174">
        <f t="shared" si="4"/>
        <v>81.63079122364718</v>
      </c>
      <c r="K37" s="210">
        <v>515945.6</v>
      </c>
      <c r="L37" s="212">
        <v>140666.3</v>
      </c>
      <c r="M37" s="173">
        <f t="shared" si="5"/>
        <v>-375279.3</v>
      </c>
      <c r="N37" s="174">
        <f t="shared" si="6"/>
        <v>27.263785174250927</v>
      </c>
    </row>
    <row r="38" spans="1:14" ht="15">
      <c r="A38" s="213" t="s">
        <v>82</v>
      </c>
      <c r="B38" s="329" t="s">
        <v>144</v>
      </c>
      <c r="C38" s="168">
        <f>G38+K38</f>
        <v>334.6</v>
      </c>
      <c r="D38" s="169">
        <f>H38+L38</f>
        <v>334.6</v>
      </c>
      <c r="E38" s="169">
        <f t="shared" si="7"/>
        <v>0</v>
      </c>
      <c r="F38" s="170"/>
      <c r="G38" s="210"/>
      <c r="H38" s="211"/>
      <c r="I38" s="173"/>
      <c r="J38" s="174"/>
      <c r="K38" s="214">
        <v>334.6</v>
      </c>
      <c r="L38" s="212">
        <v>334.6</v>
      </c>
      <c r="M38" s="173">
        <f t="shared" si="5"/>
        <v>0</v>
      </c>
      <c r="N38" s="174">
        <f t="shared" si="6"/>
        <v>100</v>
      </c>
    </row>
    <row r="39" spans="1:14" ht="16.5" thickBot="1">
      <c r="A39" s="215" t="s">
        <v>83</v>
      </c>
      <c r="B39" s="330"/>
      <c r="C39" s="216">
        <f>C8+C33</f>
        <v>3914407.5</v>
      </c>
      <c r="D39" s="216">
        <f>D8+D33</f>
        <v>2497264.7</v>
      </c>
      <c r="E39" s="217">
        <f>D39-C39</f>
        <v>-1417142.7999999998</v>
      </c>
      <c r="F39" s="218">
        <f>D39/C39%</f>
        <v>63.79674829460143</v>
      </c>
      <c r="G39" s="216">
        <f>G8+G33</f>
        <v>3624207</v>
      </c>
      <c r="H39" s="216">
        <f>H8+H33</f>
        <v>2295322.8</v>
      </c>
      <c r="I39" s="217">
        <f t="shared" si="3"/>
        <v>-1328884.2000000002</v>
      </c>
      <c r="J39" s="218">
        <f t="shared" si="4"/>
        <v>63.333104317716945</v>
      </c>
      <c r="K39" s="216">
        <f>K8+K33</f>
        <v>822563.2</v>
      </c>
      <c r="L39" s="216">
        <f>L8+L33</f>
        <v>353178.5</v>
      </c>
      <c r="M39" s="217">
        <f t="shared" si="5"/>
        <v>-469384.69999999995</v>
      </c>
      <c r="N39" s="218">
        <f t="shared" si="6"/>
        <v>42.93633607727649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2021-08-30T13:53:56Z</dcterms:modified>
  <cp:category/>
  <cp:version/>
  <cp:contentType/>
  <cp:contentStatus/>
</cp:coreProperties>
</file>